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120" yWindow="-60" windowWidth="17496" windowHeight="10956" tabRatio="764" activeTab="1"/>
  </bookViews>
  <sheets>
    <sheet name="y-1總表" sheetId="15" r:id="rId1"/>
    <sheet name="y-2檢核表" sheetId="5" r:id="rId2"/>
    <sheet name="y-3-1 (A-1)" sheetId="12" r:id="rId3"/>
    <sheet name="y-3-2 (A-1)" sheetId="16" r:id="rId4"/>
    <sheet name="y-3-1 (B-1)" sheetId="25" r:id="rId5"/>
    <sheet name="y-3-2 (B-1)" sheetId="26" r:id="rId6"/>
    <sheet name="y-3-1 (B-2)" sheetId="27" r:id="rId7"/>
    <sheet name="y-3-2 (B-2)" sheetId="30" r:id="rId8"/>
    <sheet name="y-3-1 (C-1)" sheetId="31" r:id="rId9"/>
    <sheet name="y-3-2 (C-1)" sheetId="32" r:id="rId10"/>
    <sheet name="y-3-1 (C-2)" sheetId="33" r:id="rId11"/>
    <sheet name="y-3-2 (C-2)" sheetId="34" r:id="rId12"/>
    <sheet name="y-3-1 (C-3)" sheetId="35" r:id="rId13"/>
    <sheet name="y-3-2 (C-3)" sheetId="36" r:id="rId14"/>
    <sheet name="y-3-1 (D-1)" sheetId="37" r:id="rId15"/>
    <sheet name="y-3-2 (D-2)" sheetId="38" r:id="rId16"/>
    <sheet name="y-4子計畫經費項目總計" sheetId="14" r:id="rId17"/>
    <sheet name="各子計畫經費" sheetId="19" state="hidden" r:id="rId18"/>
  </sheets>
  <definedNames>
    <definedName name="_xlnm._FilterDatabase" localSheetId="17" hidden="1">各子計畫經費!$A$1:$N$118</definedName>
    <definedName name="OLE_LINK1" localSheetId="1">'y-2檢核表'!$A$3</definedName>
    <definedName name="_xlnm.Print_Area" localSheetId="0">'y-1總表'!$A$1:$P$22</definedName>
    <definedName name="_xlnm.Print_Area" localSheetId="1">'y-2檢核表'!$A$1:$N$44</definedName>
    <definedName name="_xlnm.Print_Area" localSheetId="4">'y-3-1 (B-1)'!$A$1:$H$42</definedName>
    <definedName name="_xlnm.Print_Area" localSheetId="6">'y-3-1 (B-2)'!$A$1:$H$35</definedName>
    <definedName name="_xlnm.Print_Area" localSheetId="3">'y-3-2 (A-1)'!$A$1:$H$39</definedName>
    <definedName name="_xlnm.Print_Area" localSheetId="5">'y-3-2 (B-1)'!$A$1:$H$41</definedName>
    <definedName name="_xlnm.Print_Area" localSheetId="7">'y-3-2 (B-2)'!$A$1:$H$41</definedName>
    <definedName name="_xlnm.Print_Area" localSheetId="9">'y-3-2 (C-1)'!$A$1:$H$35</definedName>
    <definedName name="_xlnm.Print_Area" localSheetId="11">'y-3-2 (C-2)'!$A$1:$H$35</definedName>
    <definedName name="_xlnm.Print_Area" localSheetId="13">'y-3-2 (C-3)'!$A$1:$H$35</definedName>
    <definedName name="_xlnm.Print_Area" localSheetId="15">'y-3-2 (D-2)'!$A$1:$H$35</definedName>
    <definedName name="_xlnm.Print_Area" localSheetId="16">'y-4子計畫經費項目總計'!$A$1:$H$38</definedName>
    <definedName name="_xlnm.Print_Titles" localSheetId="1">'y-2檢核表'!$1:$5</definedName>
    <definedName name="_xlnm.Print_Titles" localSheetId="2">'y-3-1 (A-1)'!$1:$7</definedName>
    <definedName name="_xlnm.Print_Titles" localSheetId="4">'y-3-1 (B-1)'!$1:$7</definedName>
    <definedName name="_xlnm.Print_Titles" localSheetId="6">'y-3-1 (B-2)'!$1:$7</definedName>
    <definedName name="_xlnm.Print_Titles" localSheetId="8">'y-3-1 (C-1)'!$1:$7</definedName>
    <definedName name="_xlnm.Print_Titles" localSheetId="10">'y-3-1 (C-2)'!$1:$7</definedName>
    <definedName name="_xlnm.Print_Titles" localSheetId="12">'y-3-1 (C-3)'!$1:$7</definedName>
    <definedName name="_xlnm.Print_Titles" localSheetId="14">'y-3-1 (D-1)'!$1:$7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9" i="5" l="1"/>
  <c r="D29" i="5"/>
  <c r="F26" i="5"/>
  <c r="D26" i="5"/>
  <c r="F12" i="5"/>
  <c r="D12" i="5"/>
  <c r="F6" i="5"/>
  <c r="D6" i="5"/>
  <c r="O7" i="15"/>
  <c r="F27" i="5"/>
  <c r="F24" i="5"/>
  <c r="F23" i="5"/>
  <c r="F22" i="5"/>
  <c r="F21" i="5"/>
  <c r="F30" i="5"/>
  <c r="F31" i="5"/>
  <c r="F32" i="5"/>
  <c r="F28" i="5"/>
  <c r="D32" i="5"/>
  <c r="D30" i="5"/>
  <c r="D28" i="5"/>
  <c r="F25" i="5"/>
  <c r="D25" i="5"/>
  <c r="F20" i="5"/>
  <c r="D20" i="5"/>
  <c r="F15" i="5"/>
  <c r="D15" i="5"/>
  <c r="G11" i="5"/>
  <c r="E11" i="5"/>
  <c r="E17" i="5"/>
  <c r="G17" i="5"/>
  <c r="G7" i="5"/>
  <c r="G8" i="5"/>
  <c r="G9" i="5"/>
  <c r="G10" i="5"/>
  <c r="G12" i="5"/>
  <c r="G13" i="5"/>
  <c r="G14" i="5"/>
  <c r="G15" i="5"/>
  <c r="G16" i="5"/>
  <c r="G18" i="5"/>
  <c r="G6" i="5"/>
  <c r="F18" i="5"/>
  <c r="F17" i="5"/>
  <c r="F16" i="5"/>
  <c r="F14" i="5"/>
  <c r="F13" i="5"/>
  <c r="F11" i="5"/>
  <c r="F10" i="5"/>
  <c r="F9" i="5"/>
  <c r="F8" i="5"/>
  <c r="F7" i="5"/>
  <c r="D13" i="5"/>
  <c r="D10" i="5"/>
  <c r="D9" i="5"/>
  <c r="D8" i="5"/>
  <c r="D7" i="5"/>
  <c r="D18" i="5"/>
  <c r="D17" i="5"/>
  <c r="D16" i="5"/>
  <c r="D14" i="5"/>
  <c r="D11" i="5"/>
  <c r="F21" i="25" l="1"/>
  <c r="F9" i="25"/>
  <c r="F10" i="25"/>
  <c r="F11" i="25"/>
  <c r="F12" i="25"/>
  <c r="F13" i="25"/>
  <c r="F14" i="25"/>
  <c r="F15" i="25"/>
  <c r="F16" i="25"/>
  <c r="F17" i="25"/>
  <c r="F18" i="25"/>
  <c r="F19" i="25"/>
  <c r="F20" i="25"/>
  <c r="F8" i="25"/>
  <c r="C7" i="15" l="1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D31" i="5"/>
  <c r="D27" i="5"/>
  <c r="D24" i="5"/>
  <c r="D23" i="5"/>
  <c r="D22" i="5"/>
  <c r="D21" i="5"/>
  <c r="E18" i="5"/>
  <c r="E16" i="5"/>
  <c r="E15" i="5"/>
  <c r="E14" i="5"/>
  <c r="E13" i="5"/>
  <c r="E12" i="5"/>
  <c r="E6" i="5"/>
  <c r="E10" i="5"/>
  <c r="E9" i="5"/>
  <c r="E8" i="5"/>
  <c r="E7" i="5"/>
  <c r="F19" i="38"/>
  <c r="F17" i="38"/>
  <c r="F19" i="37"/>
  <c r="F18" i="37"/>
  <c r="F21" i="37" s="1"/>
  <c r="F11" i="37"/>
  <c r="F13" i="37" s="1"/>
  <c r="F16" i="37" s="1"/>
  <c r="F12" i="37"/>
  <c r="F9" i="37"/>
  <c r="F10" i="37"/>
  <c r="F8" i="37"/>
  <c r="F27" i="38"/>
  <c r="F20" i="38"/>
  <c r="F28" i="38" s="1"/>
  <c r="F9" i="35"/>
  <c r="F10" i="35"/>
  <c r="F11" i="35"/>
  <c r="F8" i="35"/>
  <c r="F9" i="36"/>
  <c r="F16" i="36" s="1"/>
  <c r="F20" i="36" s="1"/>
  <c r="F28" i="36" s="1"/>
  <c r="F10" i="36"/>
  <c r="F11" i="36"/>
  <c r="F8" i="36"/>
  <c r="F27" i="36"/>
  <c r="F21" i="35"/>
  <c r="F9" i="34"/>
  <c r="F10" i="34"/>
  <c r="F11" i="34"/>
  <c r="F8" i="34"/>
  <c r="F16" i="34" s="1"/>
  <c r="F11" i="33"/>
  <c r="F10" i="33"/>
  <c r="F9" i="33"/>
  <c r="F8" i="33"/>
  <c r="F27" i="34"/>
  <c r="F21" i="33"/>
  <c r="F9" i="32"/>
  <c r="F10" i="32"/>
  <c r="F11" i="32"/>
  <c r="F8" i="32"/>
  <c r="F9" i="31"/>
  <c r="F10" i="31"/>
  <c r="F11" i="31"/>
  <c r="F8" i="31"/>
  <c r="F27" i="32"/>
  <c r="F21" i="31"/>
  <c r="F9" i="30"/>
  <c r="F10" i="30"/>
  <c r="F11" i="30"/>
  <c r="F12" i="30"/>
  <c r="F13" i="30"/>
  <c r="F14" i="30"/>
  <c r="F15" i="30"/>
  <c r="F16" i="30"/>
  <c r="F17" i="30"/>
  <c r="F8" i="30"/>
  <c r="F9" i="27"/>
  <c r="F10" i="27"/>
  <c r="F11" i="27"/>
  <c r="F12" i="27"/>
  <c r="F13" i="27"/>
  <c r="F14" i="27"/>
  <c r="F15" i="27"/>
  <c r="F16" i="27"/>
  <c r="F17" i="27"/>
  <c r="F8" i="27"/>
  <c r="F33" i="30"/>
  <c r="F32" i="30"/>
  <c r="F31" i="30"/>
  <c r="F30" i="30"/>
  <c r="F29" i="30"/>
  <c r="F28" i="30"/>
  <c r="F24" i="30"/>
  <c r="F25" i="30" s="1"/>
  <c r="F23" i="30"/>
  <c r="F9" i="26"/>
  <c r="F10" i="26"/>
  <c r="F11" i="26"/>
  <c r="F12" i="26"/>
  <c r="F13" i="26"/>
  <c r="F14" i="26"/>
  <c r="F15" i="26"/>
  <c r="F16" i="26"/>
  <c r="F17" i="26"/>
  <c r="F18" i="26"/>
  <c r="F19" i="26"/>
  <c r="F20" i="26"/>
  <c r="F21" i="26"/>
  <c r="F8" i="26"/>
  <c r="F28" i="25"/>
  <c r="F29" i="25"/>
  <c r="F30" i="25"/>
  <c r="F31" i="25"/>
  <c r="F22" i="37" l="1"/>
  <c r="F13" i="35"/>
  <c r="F16" i="35" s="1"/>
  <c r="F22" i="35" s="1"/>
  <c r="F13" i="33"/>
  <c r="F16" i="33" s="1"/>
  <c r="F22" i="33" s="1"/>
  <c r="F20" i="34"/>
  <c r="F28" i="34" s="1"/>
  <c r="F16" i="32"/>
  <c r="F13" i="31"/>
  <c r="F16" i="31" s="1"/>
  <c r="F22" i="31" s="1"/>
  <c r="F20" i="32"/>
  <c r="F28" i="32" s="1"/>
  <c r="F22" i="30"/>
  <c r="F26" i="30"/>
  <c r="F34" i="30" s="1"/>
  <c r="F27" i="27"/>
  <c r="F19" i="27"/>
  <c r="F22" i="27" s="1"/>
  <c r="F28" i="27" s="1"/>
  <c r="F22" i="26"/>
  <c r="F27" i="25"/>
  <c r="F9" i="16"/>
  <c r="F10" i="16"/>
  <c r="F11" i="16"/>
  <c r="F12" i="16"/>
  <c r="F13" i="16"/>
  <c r="F14" i="16"/>
  <c r="F15" i="16"/>
  <c r="F8" i="16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8" i="12"/>
  <c r="F33" i="26" l="1"/>
  <c r="F26" i="26"/>
  <c r="F34" i="26" s="1"/>
  <c r="F34" i="25"/>
  <c r="F22" i="25"/>
  <c r="F25" i="25" s="1"/>
  <c r="F37" i="12"/>
  <c r="F40" i="12" s="1"/>
  <c r="K34" i="19"/>
  <c r="L16" i="19"/>
  <c r="L53" i="19"/>
  <c r="F35" i="25" l="1"/>
  <c r="L55" i="19"/>
  <c r="L119" i="19" l="1"/>
  <c r="A125" i="19" s="1"/>
  <c r="L120" i="19"/>
  <c r="L121" i="19"/>
  <c r="L122" i="19"/>
  <c r="L123" i="19"/>
  <c r="L124" i="19"/>
  <c r="L125" i="19"/>
  <c r="L54" i="19"/>
  <c r="L149" i="19"/>
  <c r="L147" i="19"/>
  <c r="L146" i="19"/>
  <c r="L145" i="19"/>
  <c r="L144" i="19"/>
  <c r="L143" i="19"/>
  <c r="L142" i="19"/>
  <c r="L141" i="19"/>
  <c r="L140" i="19"/>
  <c r="L139" i="19"/>
  <c r="L148" i="19" s="1"/>
  <c r="L138" i="19"/>
  <c r="L137" i="19"/>
  <c r="L135" i="19"/>
  <c r="L134" i="19"/>
  <c r="L133" i="19"/>
  <c r="L132" i="19"/>
  <c r="L131" i="19"/>
  <c r="L130" i="19"/>
  <c r="L129" i="19"/>
  <c r="L128" i="19"/>
  <c r="L127" i="19"/>
  <c r="L126" i="19"/>
  <c r="L136" i="19" s="1"/>
  <c r="A149" i="19" l="1"/>
  <c r="A137" i="19"/>
  <c r="L56" i="19"/>
  <c r="L52" i="19" l="1"/>
  <c r="L51" i="19"/>
  <c r="L50" i="19"/>
  <c r="L48" i="19"/>
  <c r="L49" i="19"/>
  <c r="L47" i="19"/>
  <c r="E30" i="14"/>
  <c r="E24" i="14"/>
  <c r="E26" i="14"/>
  <c r="E27" i="14"/>
  <c r="E7" i="14"/>
  <c r="E10" i="14"/>
  <c r="E11" i="14"/>
  <c r="E12" i="14"/>
  <c r="E5" i="14"/>
  <c r="C27" i="14"/>
  <c r="C30" i="14"/>
  <c r="C24" i="14"/>
  <c r="C26" i="14"/>
  <c r="C7" i="14"/>
  <c r="C10" i="14"/>
  <c r="C11" i="14"/>
  <c r="C12" i="14"/>
  <c r="C5" i="14"/>
  <c r="L118" i="19"/>
  <c r="L114" i="19"/>
  <c r="L117" i="19"/>
  <c r="L113" i="19"/>
  <c r="L116" i="19"/>
  <c r="L112" i="19"/>
  <c r="L115" i="19"/>
  <c r="L111" i="19"/>
  <c r="A56" i="19" l="1"/>
  <c r="A114" i="19"/>
  <c r="A118" i="19"/>
  <c r="L110" i="19"/>
  <c r="L109" i="19"/>
  <c r="E20" i="14" s="1"/>
  <c r="L108" i="19"/>
  <c r="L107" i="19"/>
  <c r="L106" i="19"/>
  <c r="L105" i="19"/>
  <c r="L104" i="19"/>
  <c r="L103" i="19"/>
  <c r="L36" i="19"/>
  <c r="L35" i="19"/>
  <c r="L33" i="19"/>
  <c r="L100" i="19"/>
  <c r="L96" i="19"/>
  <c r="L102" i="19"/>
  <c r="L98" i="19"/>
  <c r="L101" i="19"/>
  <c r="L97" i="19"/>
  <c r="L99" i="19"/>
  <c r="E9" i="14" s="1"/>
  <c r="L95" i="19"/>
  <c r="C9" i="14" s="1"/>
  <c r="L84" i="19"/>
  <c r="L85" i="19"/>
  <c r="L86" i="19"/>
  <c r="L87" i="19"/>
  <c r="E14" i="14" s="1"/>
  <c r="L88" i="19"/>
  <c r="L89" i="19"/>
  <c r="L90" i="19"/>
  <c r="L91" i="19"/>
  <c r="E19" i="14" s="1"/>
  <c r="L92" i="19"/>
  <c r="L93" i="19"/>
  <c r="E25" i="14" s="1"/>
  <c r="L73" i="19"/>
  <c r="L74" i="19"/>
  <c r="L75" i="19"/>
  <c r="L76" i="19"/>
  <c r="C14" i="14" s="1"/>
  <c r="L77" i="19"/>
  <c r="L78" i="19"/>
  <c r="L79" i="19"/>
  <c r="L80" i="19"/>
  <c r="L81" i="19"/>
  <c r="L82" i="19"/>
  <c r="C25" i="14" s="1"/>
  <c r="L66" i="19"/>
  <c r="L67" i="19"/>
  <c r="L68" i="19"/>
  <c r="E15" i="14" s="1"/>
  <c r="L69" i="19"/>
  <c r="L70" i="19"/>
  <c r="L71" i="19"/>
  <c r="L72" i="19"/>
  <c r="L65" i="19"/>
  <c r="L57" i="19"/>
  <c r="L58" i="19"/>
  <c r="L59" i="19"/>
  <c r="L60" i="19"/>
  <c r="L61" i="19"/>
  <c r="L62" i="19"/>
  <c r="L63" i="19"/>
  <c r="L64" i="19"/>
  <c r="L83" i="19"/>
  <c r="L94" i="19"/>
  <c r="E16" i="14" l="1"/>
  <c r="A36" i="19"/>
  <c r="E13" i="14"/>
  <c r="E6" i="14"/>
  <c r="A110" i="19"/>
  <c r="A102" i="19"/>
  <c r="A106" i="19"/>
  <c r="A105" i="19"/>
  <c r="A98" i="19"/>
  <c r="A94" i="19"/>
  <c r="A83" i="19"/>
  <c r="A72" i="19"/>
  <c r="A64" i="19"/>
  <c r="L34" i="19"/>
  <c r="L45" i="19"/>
  <c r="L46" i="19"/>
  <c r="L38" i="19"/>
  <c r="L39" i="19"/>
  <c r="C13" i="14" s="1"/>
  <c r="L40" i="19"/>
  <c r="L41" i="19"/>
  <c r="C16" i="14" s="1"/>
  <c r="L42" i="19"/>
  <c r="L43" i="19"/>
  <c r="L44" i="19"/>
  <c r="L37" i="19"/>
  <c r="L26" i="19"/>
  <c r="L27" i="19"/>
  <c r="L28" i="19"/>
  <c r="L29" i="19"/>
  <c r="L30" i="19"/>
  <c r="L31" i="19"/>
  <c r="L32" i="19"/>
  <c r="L19" i="19"/>
  <c r="L20" i="19"/>
  <c r="L22" i="19"/>
  <c r="L11" i="19"/>
  <c r="E17" i="14" s="1"/>
  <c r="L12" i="19"/>
  <c r="E18" i="14" s="1"/>
  <c r="L13" i="19"/>
  <c r="E21" i="14" s="1"/>
  <c r="L14" i="19"/>
  <c r="E22" i="14" s="1"/>
  <c r="L17" i="19"/>
  <c r="E28" i="14" s="1"/>
  <c r="L3" i="19"/>
  <c r="L4" i="19"/>
  <c r="L5" i="19"/>
  <c r="L6" i="19"/>
  <c r="C21" i="14" s="1"/>
  <c r="L7" i="19"/>
  <c r="C22" i="14" s="1"/>
  <c r="L9" i="19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C20" i="14" l="1"/>
  <c r="C17" i="14"/>
  <c r="C8" i="14"/>
  <c r="C15" i="14"/>
  <c r="C28" i="14"/>
  <c r="C18" i="14"/>
  <c r="B7" i="15"/>
  <c r="A33" i="19"/>
  <c r="A46" i="19"/>
  <c r="L24" i="19"/>
  <c r="L23" i="19"/>
  <c r="L25" i="19"/>
  <c r="C19" i="14" s="1"/>
  <c r="L18" i="19"/>
  <c r="L10" i="19"/>
  <c r="E8" i="14" s="1"/>
  <c r="L2" i="19"/>
  <c r="C6" i="14" l="1"/>
  <c r="C29" i="14"/>
  <c r="E29" i="14"/>
  <c r="A34" i="19"/>
  <c r="K15" i="19"/>
  <c r="L15" i="19" s="1"/>
  <c r="K21" i="19"/>
  <c r="L21" i="19" s="1"/>
  <c r="A22" i="19" s="1"/>
  <c r="K8" i="19"/>
  <c r="L8" i="19" s="1"/>
  <c r="M30" i="5"/>
  <c r="L30" i="5"/>
  <c r="M14" i="5"/>
  <c r="M15" i="5"/>
  <c r="M16" i="5"/>
  <c r="L16" i="5"/>
  <c r="E23" i="14" l="1"/>
  <c r="A9" i="19"/>
  <c r="C23" i="14"/>
  <c r="A15" i="19"/>
  <c r="A17" i="19"/>
  <c r="N16" i="5"/>
  <c r="A8" i="19"/>
  <c r="N30" i="5"/>
  <c r="D19" i="5" l="1"/>
  <c r="B5" i="15"/>
  <c r="E5" i="15"/>
  <c r="D5" i="15"/>
  <c r="C5" i="15"/>
  <c r="M23" i="5"/>
  <c r="M24" i="5"/>
  <c r="L23" i="5"/>
  <c r="L24" i="5"/>
  <c r="M9" i="5"/>
  <c r="M10" i="5"/>
  <c r="L10" i="5"/>
  <c r="L9" i="5"/>
  <c r="N24" i="5" l="1"/>
  <c r="N10" i="5"/>
  <c r="N23" i="5"/>
  <c r="N9" i="5"/>
  <c r="G22" i="14"/>
  <c r="F18" i="16" l="1"/>
  <c r="F31" i="16"/>
  <c r="K33" i="5"/>
  <c r="E19" i="5"/>
  <c r="F19" i="5"/>
  <c r="G19" i="5"/>
  <c r="H19" i="5"/>
  <c r="I19" i="5"/>
  <c r="K19" i="5"/>
  <c r="J19" i="5"/>
  <c r="E31" i="14"/>
  <c r="C31" i="14"/>
  <c r="G33" i="5"/>
  <c r="G5" i="14"/>
  <c r="L32" i="5"/>
  <c r="M26" i="5"/>
  <c r="L26" i="5"/>
  <c r="M18" i="5"/>
  <c r="L18" i="5"/>
  <c r="L14" i="5"/>
  <c r="L6" i="5"/>
  <c r="L20" i="5"/>
  <c r="G7" i="14"/>
  <c r="M29" i="5"/>
  <c r="L29" i="5"/>
  <c r="M9" i="15"/>
  <c r="L9" i="15"/>
  <c r="K9" i="15"/>
  <c r="J33" i="5"/>
  <c r="H33" i="5"/>
  <c r="D33" i="5"/>
  <c r="F33" i="5"/>
  <c r="I33" i="5"/>
  <c r="E33" i="5"/>
  <c r="E8" i="15"/>
  <c r="E7" i="15"/>
  <c r="E6" i="15"/>
  <c r="D8" i="15"/>
  <c r="D7" i="15"/>
  <c r="D6" i="15"/>
  <c r="C8" i="15"/>
  <c r="C6" i="15"/>
  <c r="B8" i="15"/>
  <c r="B6" i="15"/>
  <c r="J9" i="15"/>
  <c r="M32" i="5"/>
  <c r="M31" i="5"/>
  <c r="M28" i="5"/>
  <c r="M27" i="5"/>
  <c r="M25" i="5"/>
  <c r="M22" i="5"/>
  <c r="M21" i="5"/>
  <c r="M20" i="5"/>
  <c r="L31" i="5"/>
  <c r="L28" i="5"/>
  <c r="L27" i="5"/>
  <c r="L25" i="5"/>
  <c r="L22" i="5"/>
  <c r="L21" i="5"/>
  <c r="M7" i="5"/>
  <c r="M8" i="5"/>
  <c r="M11" i="5"/>
  <c r="M12" i="5"/>
  <c r="M13" i="5"/>
  <c r="M17" i="5"/>
  <c r="L7" i="5"/>
  <c r="L8" i="5"/>
  <c r="L11" i="5"/>
  <c r="L12" i="5"/>
  <c r="L13" i="5"/>
  <c r="L15" i="5"/>
  <c r="L17" i="5"/>
  <c r="M6" i="5"/>
  <c r="G8" i="14"/>
  <c r="G6" i="14"/>
  <c r="G10" i="14"/>
  <c r="G9" i="14"/>
  <c r="G11" i="14"/>
  <c r="G12" i="14"/>
  <c r="G13" i="14"/>
  <c r="G14" i="14"/>
  <c r="G15" i="14"/>
  <c r="G16" i="14"/>
  <c r="G17" i="14"/>
  <c r="G18" i="14"/>
  <c r="G19" i="14"/>
  <c r="G20" i="14"/>
  <c r="G21" i="14"/>
  <c r="G23" i="14"/>
  <c r="G24" i="14"/>
  <c r="G25" i="14"/>
  <c r="G26" i="14"/>
  <c r="G27" i="14"/>
  <c r="G28" i="14"/>
  <c r="G29" i="14"/>
  <c r="G30" i="14"/>
  <c r="F13" i="14" l="1"/>
  <c r="F22" i="14"/>
  <c r="D12" i="14"/>
  <c r="D22" i="14"/>
  <c r="F44" i="12"/>
  <c r="F24" i="16"/>
  <c r="F32" i="16" s="1"/>
  <c r="H7" i="15"/>
  <c r="G7" i="15"/>
  <c r="N7" i="15" s="1"/>
  <c r="F24" i="14"/>
  <c r="D15" i="14"/>
  <c r="D16" i="14"/>
  <c r="D27" i="14"/>
  <c r="D11" i="14"/>
  <c r="D13" i="14"/>
  <c r="D24" i="14"/>
  <c r="D17" i="14"/>
  <c r="D23" i="14"/>
  <c r="D21" i="14"/>
  <c r="D19" i="14"/>
  <c r="D26" i="14"/>
  <c r="D25" i="14"/>
  <c r="D10" i="14"/>
  <c r="D14" i="14"/>
  <c r="D5" i="14"/>
  <c r="D9" i="14"/>
  <c r="D30" i="14"/>
  <c r="D20" i="14"/>
  <c r="D18" i="14"/>
  <c r="D28" i="14"/>
  <c r="D29" i="14"/>
  <c r="F28" i="14"/>
  <c r="G31" i="14"/>
  <c r="G5" i="15"/>
  <c r="H5" i="15"/>
  <c r="O5" i="15" s="1"/>
  <c r="N29" i="5"/>
  <c r="F9" i="14"/>
  <c r="F15" i="14"/>
  <c r="F11" i="14"/>
  <c r="F12" i="14"/>
  <c r="F17" i="14"/>
  <c r="F21" i="14"/>
  <c r="F29" i="14"/>
  <c r="F23" i="14"/>
  <c r="F27" i="14"/>
  <c r="F34" i="5"/>
  <c r="F19" i="14"/>
  <c r="F20" i="14"/>
  <c r="F5" i="14"/>
  <c r="F18" i="14"/>
  <c r="F10" i="14"/>
  <c r="F25" i="14"/>
  <c r="F14" i="14"/>
  <c r="F30" i="14"/>
  <c r="F26" i="14"/>
  <c r="F16" i="14"/>
  <c r="N18" i="5"/>
  <c r="N22" i="5"/>
  <c r="N31" i="5"/>
  <c r="N6" i="5"/>
  <c r="F6" i="15"/>
  <c r="N17" i="5"/>
  <c r="F7" i="15"/>
  <c r="N8" i="5"/>
  <c r="N21" i="5"/>
  <c r="N27" i="5"/>
  <c r="N32" i="5"/>
  <c r="H6" i="15"/>
  <c r="O6" i="15" s="1"/>
  <c r="G8" i="15"/>
  <c r="N8" i="15" s="1"/>
  <c r="N25" i="5"/>
  <c r="N11" i="5"/>
  <c r="B9" i="15"/>
  <c r="N14" i="5"/>
  <c r="K34" i="5"/>
  <c r="J34" i="5"/>
  <c r="G6" i="15"/>
  <c r="N6" i="15" s="1"/>
  <c r="N12" i="5"/>
  <c r="N13" i="5"/>
  <c r="N7" i="5"/>
  <c r="N28" i="5"/>
  <c r="M33" i="5"/>
  <c r="N20" i="5"/>
  <c r="N26" i="5"/>
  <c r="I34" i="5"/>
  <c r="E34" i="5"/>
  <c r="G34" i="5"/>
  <c r="M19" i="5"/>
  <c r="H8" i="15"/>
  <c r="O8" i="15" s="1"/>
  <c r="H34" i="5"/>
  <c r="D34" i="5"/>
  <c r="F8" i="15"/>
  <c r="D9" i="15"/>
  <c r="C9" i="15"/>
  <c r="E9" i="15"/>
  <c r="F5" i="15"/>
  <c r="L19" i="5"/>
  <c r="L33" i="5"/>
  <c r="N15" i="5"/>
  <c r="H22" i="14" l="1"/>
  <c r="H14" i="14"/>
  <c r="H18" i="14"/>
  <c r="H13" i="14"/>
  <c r="H16" i="14"/>
  <c r="H21" i="14"/>
  <c r="H20" i="14"/>
  <c r="H24" i="14"/>
  <c r="H17" i="14"/>
  <c r="H26" i="14"/>
  <c r="H12" i="14"/>
  <c r="H10" i="14"/>
  <c r="H15" i="14"/>
  <c r="H19" i="14"/>
  <c r="H11" i="14"/>
  <c r="H23" i="14"/>
  <c r="H25" i="14"/>
  <c r="H27" i="14"/>
  <c r="H29" i="14"/>
  <c r="H30" i="14"/>
  <c r="H9" i="14"/>
  <c r="H28" i="14"/>
  <c r="H5" i="14"/>
  <c r="F9" i="15"/>
  <c r="I7" i="15"/>
  <c r="N33" i="5"/>
  <c r="I6" i="15"/>
  <c r="I8" i="15"/>
  <c r="H9" i="15"/>
  <c r="O9" i="15" s="1"/>
  <c r="M34" i="5"/>
  <c r="F45" i="12"/>
  <c r="I5" i="15"/>
  <c r="N5" i="15"/>
  <c r="G9" i="15"/>
  <c r="N9" i="15" s="1"/>
  <c r="N19" i="5"/>
  <c r="L34" i="5"/>
  <c r="N34" i="5" l="1"/>
  <c r="M35" i="5" s="1"/>
  <c r="I9" i="15"/>
  <c r="L35" i="5" l="1"/>
</calcChain>
</file>

<file path=xl/comments1.xml><?xml version="1.0" encoding="utf-8"?>
<comments xmlns="http://schemas.openxmlformats.org/spreadsheetml/2006/main">
  <authors>
    <author>user01</author>
  </authors>
  <commentList>
    <comment ref="H6" authorId="0">
      <text>
        <r>
          <rPr>
            <b/>
            <sz val="9"/>
            <color indexed="81"/>
            <rFont val="Tahoma"/>
            <family val="2"/>
          </rPr>
          <t>user01: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學校視需求填列
，不強制要求</t>
        </r>
      </text>
    </comment>
  </commentList>
</comments>
</file>

<file path=xl/comments2.xml><?xml version="1.0" encoding="utf-8"?>
<comments xmlns="http://schemas.openxmlformats.org/spreadsheetml/2006/main">
  <authors>
    <author>user01</author>
  </authors>
  <commentList>
    <comment ref="H6" authorId="0">
      <text>
        <r>
          <rPr>
            <b/>
            <sz val="9"/>
            <color indexed="81"/>
            <rFont val="Tahoma"/>
            <family val="2"/>
          </rPr>
          <t>user01: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學校視需求填列
，不強制要求</t>
        </r>
      </text>
    </comment>
  </commentList>
</comments>
</file>

<file path=xl/comments3.xml><?xml version="1.0" encoding="utf-8"?>
<comments xmlns="http://schemas.openxmlformats.org/spreadsheetml/2006/main">
  <authors>
    <author>user01</author>
  </authors>
  <commentList>
    <comment ref="H6" authorId="0">
      <text>
        <r>
          <rPr>
            <b/>
            <sz val="9"/>
            <color indexed="81"/>
            <rFont val="Tahoma"/>
            <family val="2"/>
          </rPr>
          <t>user01: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學校視需求填列
，不強制要求</t>
        </r>
      </text>
    </comment>
  </commentList>
</comments>
</file>

<file path=xl/comments4.xml><?xml version="1.0" encoding="utf-8"?>
<comments xmlns="http://schemas.openxmlformats.org/spreadsheetml/2006/main">
  <authors>
    <author>user01</author>
  </authors>
  <commentList>
    <comment ref="H6" authorId="0">
      <text>
        <r>
          <rPr>
            <b/>
            <sz val="9"/>
            <color indexed="81"/>
            <rFont val="Tahoma"/>
            <family val="2"/>
          </rPr>
          <t>user01: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學校視需求填列
，不強制要求</t>
        </r>
      </text>
    </comment>
  </commentList>
</comments>
</file>

<file path=xl/comments5.xml><?xml version="1.0" encoding="utf-8"?>
<comments xmlns="http://schemas.openxmlformats.org/spreadsheetml/2006/main">
  <authors>
    <author>user01</author>
  </authors>
  <commentList>
    <comment ref="H6" authorId="0">
      <text>
        <r>
          <rPr>
            <b/>
            <sz val="9"/>
            <color indexed="81"/>
            <rFont val="Tahoma"/>
            <family val="2"/>
          </rPr>
          <t>user01: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學校視需求填列
，不強制要求</t>
        </r>
      </text>
    </comment>
  </commentList>
</comments>
</file>

<file path=xl/comments6.xml><?xml version="1.0" encoding="utf-8"?>
<comments xmlns="http://schemas.openxmlformats.org/spreadsheetml/2006/main">
  <authors>
    <author>user01</author>
  </authors>
  <commentList>
    <comment ref="H6" authorId="0">
      <text>
        <r>
          <rPr>
            <b/>
            <sz val="9"/>
            <color indexed="81"/>
            <rFont val="Tahoma"/>
            <family val="2"/>
          </rPr>
          <t>user01: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學校視需求填列
，不強制要求</t>
        </r>
      </text>
    </comment>
  </commentList>
</comments>
</file>

<file path=xl/comments7.xml><?xml version="1.0" encoding="utf-8"?>
<comments xmlns="http://schemas.openxmlformats.org/spreadsheetml/2006/main">
  <authors>
    <author>user01</author>
  </authors>
  <commentList>
    <comment ref="H6" authorId="0">
      <text>
        <r>
          <rPr>
            <b/>
            <sz val="9"/>
            <color indexed="81"/>
            <rFont val="Tahoma"/>
            <family val="2"/>
          </rPr>
          <t>user01: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學校視需求填列
，不強制要求</t>
        </r>
      </text>
    </comment>
  </commentList>
</comments>
</file>

<file path=xl/comments8.xml><?xml version="1.0" encoding="utf-8"?>
<comments xmlns="http://schemas.openxmlformats.org/spreadsheetml/2006/main">
  <authors>
    <author>user01</author>
  </authors>
  <commentList>
    <comment ref="H6" authorId="0">
      <text>
        <r>
          <rPr>
            <b/>
            <sz val="9"/>
            <color indexed="81"/>
            <rFont val="Tahoma"/>
            <family val="2"/>
          </rPr>
          <t>user01: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學校視需求填列
，不強制要求</t>
        </r>
      </text>
    </comment>
  </commentList>
</comments>
</file>

<file path=xl/comments9.xml><?xml version="1.0" encoding="utf-8"?>
<comments xmlns="http://schemas.openxmlformats.org/spreadsheetml/2006/main">
  <authors>
    <author>user01</author>
  </authors>
  <commentList>
    <comment ref="H6" authorId="0">
      <text>
        <r>
          <rPr>
            <b/>
            <sz val="9"/>
            <color indexed="81"/>
            <rFont val="Tahoma"/>
            <family val="2"/>
          </rPr>
          <t>user01: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學校視需求填列
，不強制要求</t>
        </r>
      </text>
    </comment>
  </commentList>
</comments>
</file>

<file path=xl/comments10.xml><?xml version="1.0" encoding="utf-8"?>
<comments xmlns="http://schemas.openxmlformats.org/spreadsheetml/2006/main">
  <authors>
    <author>user01</author>
  </authors>
  <commentList>
    <comment ref="H6" authorId="0">
      <text>
        <r>
          <rPr>
            <b/>
            <sz val="9"/>
            <color indexed="81"/>
            <rFont val="Tahoma"/>
            <family val="2"/>
          </rPr>
          <t>user01: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學校視需求填列
，不強制要求</t>
        </r>
      </text>
    </comment>
  </commentList>
</comments>
</file>

<file path=xl/comments11.xml><?xml version="1.0" encoding="utf-8"?>
<comments xmlns="http://schemas.openxmlformats.org/spreadsheetml/2006/main">
  <authors>
    <author>user01</author>
  </authors>
  <commentList>
    <comment ref="H6" authorId="0">
      <text>
        <r>
          <rPr>
            <b/>
            <sz val="9"/>
            <color indexed="81"/>
            <rFont val="Tahoma"/>
            <family val="2"/>
          </rPr>
          <t>user01: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學校視需求填列
，不強制要求</t>
        </r>
      </text>
    </comment>
  </commentList>
</comments>
</file>

<file path=xl/comments12.xml><?xml version="1.0" encoding="utf-8"?>
<comments xmlns="http://schemas.openxmlformats.org/spreadsheetml/2006/main">
  <authors>
    <author>user01</author>
  </authors>
  <commentList>
    <comment ref="H6" authorId="0">
      <text>
        <r>
          <rPr>
            <b/>
            <sz val="9"/>
            <color indexed="81"/>
            <rFont val="Tahoma"/>
            <family val="2"/>
          </rPr>
          <t>user01: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學校視需求填列
，不強制要求</t>
        </r>
      </text>
    </comment>
  </commentList>
</comments>
</file>

<file path=xl/comments13.xml><?xml version="1.0" encoding="utf-8"?>
<comments xmlns="http://schemas.openxmlformats.org/spreadsheetml/2006/main">
  <authors>
    <author>user01</author>
  </authors>
  <commentList>
    <comment ref="H6" authorId="0">
      <text>
        <r>
          <rPr>
            <b/>
            <sz val="9"/>
            <color indexed="81"/>
            <rFont val="Tahoma"/>
            <family val="2"/>
          </rPr>
          <t>user01: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學校視需求填列
，不強制要求</t>
        </r>
      </text>
    </comment>
  </commentList>
</comments>
</file>

<file path=xl/comments14.xml><?xml version="1.0" encoding="utf-8"?>
<comments xmlns="http://schemas.openxmlformats.org/spreadsheetml/2006/main">
  <authors>
    <author>user01</author>
  </authors>
  <commentList>
    <comment ref="H6" authorId="0">
      <text>
        <r>
          <rPr>
            <b/>
            <sz val="9"/>
            <color indexed="81"/>
            <rFont val="Tahoma"/>
            <family val="2"/>
          </rPr>
          <t>user01: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學校視需求填列
，不強制要求</t>
        </r>
      </text>
    </comment>
  </commentList>
</comments>
</file>

<file path=xl/comments15.xml><?xml version="1.0" encoding="utf-8"?>
<comments xmlns="http://schemas.openxmlformats.org/spreadsheetml/2006/main">
  <authors>
    <author>user01</author>
  </authors>
  <commentList>
    <comment ref="H5" authorId="0">
      <text>
        <r>
          <rPr>
            <sz val="9"/>
            <color indexed="81"/>
            <rFont val="細明體"/>
            <family val="3"/>
            <charset val="136"/>
          </rPr>
          <t>比例上限30%，
因應課綱需求
最高可達40%</t>
        </r>
      </text>
    </comment>
    <comment ref="H11" authorId="0">
      <text>
        <r>
          <rPr>
            <b/>
            <sz val="9"/>
            <color indexed="81"/>
            <rFont val="細明體"/>
            <family val="3"/>
            <charset val="136"/>
          </rPr>
          <t>上限比例3%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3" authorId="0">
      <text>
        <r>
          <rPr>
            <sz val="9"/>
            <color indexed="81"/>
            <rFont val="細明體"/>
            <family val="3"/>
            <charset val="136"/>
          </rPr>
          <t>上限比例10%</t>
        </r>
      </text>
    </comment>
    <comment ref="H14" authorId="0">
      <text>
        <r>
          <rPr>
            <sz val="9"/>
            <color indexed="81"/>
            <rFont val="細明體"/>
            <family val="3"/>
            <charset val="136"/>
          </rPr>
          <t>上限為30千元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7" authorId="0">
      <text>
        <r>
          <rPr>
            <b/>
            <sz val="9"/>
            <color indexed="81"/>
            <rFont val="細明體"/>
            <family val="3"/>
            <charset val="136"/>
          </rPr>
          <t>上限比例15%</t>
        </r>
      </text>
    </comment>
    <comment ref="H18" authorId="0">
      <text>
        <r>
          <rPr>
            <b/>
            <sz val="9"/>
            <color indexed="81"/>
            <rFont val="細明體"/>
            <family val="3"/>
            <charset val="136"/>
          </rPr>
          <t>上限比例20%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9" authorId="0">
      <text>
        <r>
          <rPr>
            <b/>
            <sz val="9"/>
            <color indexed="81"/>
            <rFont val="細明體"/>
            <family val="3"/>
            <charset val="136"/>
          </rPr>
          <t>上限比例20%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2" authorId="0">
      <text>
        <r>
          <rPr>
            <b/>
            <sz val="9"/>
            <color indexed="81"/>
            <rFont val="細明體"/>
            <family val="3"/>
            <charset val="136"/>
          </rPr>
          <t>上限比例5%</t>
        </r>
      </text>
    </comment>
    <comment ref="H25" authorId="0">
      <text>
        <r>
          <rPr>
            <sz val="9"/>
            <color indexed="81"/>
            <rFont val="細明體"/>
            <family val="3"/>
            <charset val="136"/>
          </rPr>
          <t>上限比例10%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8" authorId="0">
      <text>
        <r>
          <rPr>
            <sz val="9"/>
            <color indexed="81"/>
            <rFont val="細明體"/>
            <family val="3"/>
            <charset val="136"/>
          </rPr>
          <t>上限比例20%，隸屬直轄市或縣市政府之學校，請遵循隸屬主管機關規定比例上限編列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9" authorId="0">
      <text>
        <r>
          <rPr>
            <b/>
            <sz val="9"/>
            <color indexed="81"/>
            <rFont val="細明體"/>
            <family val="3"/>
            <charset val="136"/>
          </rPr>
          <t>學生獎學金+學生獎助金上限比例20%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<sst xmlns="http://schemas.openxmlformats.org/spreadsheetml/2006/main" count="1877" uniqueCount="488">
  <si>
    <t>經常門</t>
  </si>
  <si>
    <t>資本門</t>
  </si>
  <si>
    <t>年度</t>
  </si>
  <si>
    <r>
      <t>單位：</t>
    </r>
    <r>
      <rPr>
        <sz val="12"/>
        <color indexed="10"/>
        <rFont val="細明體"/>
        <family val="3"/>
        <charset val="136"/>
      </rPr>
      <t>仟</t>
    </r>
    <r>
      <rPr>
        <sz val="12"/>
        <rFont val="細明體"/>
        <family val="3"/>
        <charset val="136"/>
      </rPr>
      <t>元</t>
    </r>
    <phoneticPr fontId="1" type="noConversion"/>
  </si>
  <si>
    <t xml:space="preserve"> </t>
    <phoneticPr fontId="1" type="noConversion"/>
  </si>
  <si>
    <t>單位</t>
  </si>
  <si>
    <t>數量</t>
  </si>
  <si>
    <t>單價</t>
  </si>
  <si>
    <t>總價</t>
  </si>
  <si>
    <t>說明用途</t>
  </si>
  <si>
    <t>業務費</t>
  </si>
  <si>
    <t>經資門比例</t>
    <phoneticPr fontId="1" type="noConversion"/>
  </si>
  <si>
    <t>自籌款</t>
    <phoneticPr fontId="1" type="noConversion"/>
  </si>
  <si>
    <t>獎補助費</t>
    <phoneticPr fontId="1" type="noConversion"/>
  </si>
  <si>
    <t>經費項目名稱</t>
    <phoneticPr fontId="1" type="noConversion"/>
  </si>
  <si>
    <t>授課鐘點費</t>
    <phoneticPr fontId="1" type="noConversion"/>
  </si>
  <si>
    <t>全民健康保險補充保費</t>
    <phoneticPr fontId="1" type="noConversion"/>
  </si>
  <si>
    <t>印刷費</t>
    <phoneticPr fontId="1" type="noConversion"/>
  </si>
  <si>
    <t>資料蒐集費</t>
    <phoneticPr fontId="1" type="noConversion"/>
  </si>
  <si>
    <t>膳宿費</t>
    <phoneticPr fontId="1" type="noConversion"/>
  </si>
  <si>
    <t>保險費</t>
    <phoneticPr fontId="1" type="noConversion"/>
  </si>
  <si>
    <t>租車費</t>
    <phoneticPr fontId="1" type="noConversion"/>
  </si>
  <si>
    <t>材料費</t>
    <phoneticPr fontId="1" type="noConversion"/>
  </si>
  <si>
    <t>物品費</t>
    <phoneticPr fontId="1" type="noConversion"/>
  </si>
  <si>
    <t>設備維護費</t>
    <phoneticPr fontId="1" type="noConversion"/>
  </si>
  <si>
    <t>經常門</t>
    <phoneticPr fontId="1" type="noConversion"/>
  </si>
  <si>
    <t>業務費</t>
    <phoneticPr fontId="1" type="noConversion"/>
  </si>
  <si>
    <t>學生獎學金</t>
    <phoneticPr fontId="1" type="noConversion"/>
  </si>
  <si>
    <t>比例</t>
    <phoneticPr fontId="1" type="noConversion"/>
  </si>
  <si>
    <t>經常門總計</t>
    <phoneticPr fontId="1" type="noConversion"/>
  </si>
  <si>
    <t>總計</t>
    <phoneticPr fontId="1" type="noConversion"/>
  </si>
  <si>
    <t>說明：1. 為了協助及早完成經費核定，請學校加總各子計畫之經費項目。</t>
    <phoneticPr fontId="1" type="noConversion"/>
  </si>
  <si>
    <r>
      <t>名稱</t>
    </r>
    <r>
      <rPr>
        <sz val="11"/>
        <color indexed="10"/>
        <rFont val="標楷體"/>
        <family val="4"/>
        <charset val="136"/>
      </rPr>
      <t>(下拉式選單)</t>
    </r>
    <phoneticPr fontId="1" type="noConversion"/>
  </si>
  <si>
    <t>學生獎助金</t>
    <phoneticPr fontId="1" type="noConversion"/>
  </si>
  <si>
    <t>稿費</t>
    <phoneticPr fontId="1" type="noConversion"/>
  </si>
  <si>
    <t>裁判費</t>
    <phoneticPr fontId="1" type="noConversion"/>
  </si>
  <si>
    <t>場地使用費</t>
    <phoneticPr fontId="1" type="noConversion"/>
  </si>
  <si>
    <t>設備使用費</t>
    <phoneticPr fontId="1" type="noConversion"/>
  </si>
  <si>
    <t>軟體授權費</t>
    <phoneticPr fontId="1" type="noConversion"/>
  </si>
  <si>
    <t>軟體設計費</t>
    <phoneticPr fontId="1" type="noConversion"/>
  </si>
  <si>
    <t>指導費</t>
    <phoneticPr fontId="1" type="noConversion"/>
  </si>
  <si>
    <t>諮詢費</t>
    <phoneticPr fontId="1" type="noConversion"/>
  </si>
  <si>
    <t>設備及投資</t>
    <phoneticPr fontId="1" type="noConversion"/>
  </si>
  <si>
    <t>講座鐘點費(外聘)</t>
    <phoneticPr fontId="1" type="noConversion"/>
  </si>
  <si>
    <t>講座鐘點費(內聘)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</si>
  <si>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</si>
  <si>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</si>
  <si>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</si>
  <si>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</si>
  <si>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資本門</t>
    <phoneticPr fontId="1" type="noConversion"/>
  </si>
  <si>
    <t>合計數</t>
    <phoneticPr fontId="1" type="noConversion"/>
  </si>
  <si>
    <t>子計畫項目名稱</t>
    <phoneticPr fontId="1" type="noConversion"/>
  </si>
  <si>
    <t>子計畫代碼</t>
    <phoneticPr fontId="1" type="noConversion"/>
  </si>
  <si>
    <t>計畫代碼</t>
    <phoneticPr fontId="1" type="noConversion"/>
  </si>
  <si>
    <t>其他補助款</t>
    <phoneticPr fontId="1" type="noConversion"/>
  </si>
  <si>
    <t>資本門</t>
    <phoneticPr fontId="1" type="noConversion"/>
  </si>
  <si>
    <t>合計數</t>
    <phoneticPr fontId="1" type="noConversion"/>
  </si>
  <si>
    <t>子計畫代碼:A-1　</t>
    <phoneticPr fontId="1" type="noConversion"/>
  </si>
  <si>
    <t xml:space="preserve">            2. 總計為各子計畫之經費加總。(例如：講座鐘點費A-1,A-2..B-1,B-2,..C-1,C-2…之加總)</t>
    <phoneticPr fontId="1" type="noConversion"/>
  </si>
  <si>
    <t xml:space="preserve">            3. 比例：子計畫經費項目之總計 / 經常門總計。</t>
    <phoneticPr fontId="1" type="noConversion"/>
  </si>
  <si>
    <t>獎補助費</t>
    <phoneticPr fontId="1" type="noConversion"/>
  </si>
  <si>
    <t>優質化整體經費</t>
    <phoneticPr fontId="1" type="noConversion"/>
  </si>
  <si>
    <t>小  計</t>
    <phoneticPr fontId="1" type="noConversion"/>
  </si>
  <si>
    <t>經常門</t>
    <phoneticPr fontId="1" type="noConversion"/>
  </si>
  <si>
    <t>經常門</t>
    <phoneticPr fontId="1" type="noConversion"/>
  </si>
  <si>
    <t>資本門</t>
    <phoneticPr fontId="1" type="noConversion"/>
  </si>
  <si>
    <t>經常門執行率</t>
    <phoneticPr fontId="1" type="noConversion"/>
  </si>
  <si>
    <t>資本門執行率</t>
    <phoneticPr fontId="1" type="noConversion"/>
  </si>
  <si>
    <t>初審申請    金額</t>
    <phoneticPr fontId="1" type="noConversion"/>
  </si>
  <si>
    <t>核定     金額</t>
    <phoneticPr fontId="1" type="noConversion"/>
  </si>
  <si>
    <t>說明：1. 子計畫表單可自行增加。</t>
    <phoneticPr fontId="1" type="noConversion"/>
  </si>
  <si>
    <t xml:space="preserve">            2.說明用途欄請勿空白，請簡略描述。 </t>
    <phoneticPr fontId="1" type="noConversion"/>
  </si>
  <si>
    <t xml:space="preserve">            3.計畫書PDF檔的經費表需核章。</t>
    <phoneticPr fontId="1" type="noConversion"/>
  </si>
  <si>
    <t xml:space="preserve">            4.年度經費概算表排版編列請依上下學期放一起，以利審查。(Ex：A-1  8-12月，接A-1  1-7月)</t>
    <phoneticPr fontId="1" type="noConversion"/>
  </si>
  <si>
    <t xml:space="preserve">            2、優質化專案補助款：指的是教育部的補助款。</t>
    <phoneticPr fontId="1" type="noConversion"/>
  </si>
  <si>
    <t>經費配置來源</t>
    <phoneticPr fontId="1" type="noConversion"/>
  </si>
  <si>
    <t>經費配置來源</t>
    <phoneticPr fontId="1" type="noConversion"/>
  </si>
  <si>
    <t>講座助理鐘點費</t>
    <phoneticPr fontId="1" type="noConversion"/>
  </si>
  <si>
    <t>表y-4 子計畫經常門經費項目彙計表 (子計畫A-D)</t>
    <phoneticPr fontId="1" type="noConversion"/>
  </si>
  <si>
    <t>國內旅費</t>
    <phoneticPr fontId="1" type="noConversion"/>
  </si>
  <si>
    <t>優質化專案直轄市、縣(市)立學校主管機關配合款</t>
    <phoneticPr fontId="1" type="noConversion"/>
  </si>
  <si>
    <t>優質化整體經費分析</t>
    <phoneticPr fontId="1" type="noConversion"/>
  </si>
  <si>
    <t>優質化專案教育部補助款
(A)</t>
    <phoneticPr fontId="1" type="noConversion"/>
  </si>
  <si>
    <t>優質化專案直轄市、縣(市)立學校主管機關配合款
(B)</t>
    <phoneticPr fontId="1" type="noConversion"/>
  </si>
  <si>
    <t xml:space="preserve">自籌款
(C)  </t>
    <phoneticPr fontId="1" type="noConversion"/>
  </si>
  <si>
    <t>其他補助款
(D)</t>
    <phoneticPr fontId="1" type="noConversion"/>
  </si>
  <si>
    <t>優質化整體經費
A+B+C+D</t>
    <phoneticPr fontId="1" type="noConversion"/>
  </si>
  <si>
    <t>(一)經常門</t>
    <phoneticPr fontId="1" type="noConversion"/>
  </si>
  <si>
    <t xml:space="preserve">           小計          </t>
  </si>
  <si>
    <t>經常門小計</t>
    <phoneticPr fontId="1" type="noConversion"/>
  </si>
  <si>
    <t>(二)資本門</t>
    <phoneticPr fontId="1" type="noConversion"/>
  </si>
  <si>
    <t xml:space="preserve">           資本門小計          </t>
    <phoneticPr fontId="1" type="noConversion"/>
  </si>
  <si>
    <t xml:space="preserve">             屬第三級最高補助比率為百分之八十八；屬第四級最高補助比率為百分之八十九；其第五級最高補助比率為百分之九十。</t>
    <phoneticPr fontId="1" type="noConversion"/>
  </si>
  <si>
    <t xml:space="preserve">            3、直轄市(縣市立主管機關配合款)：依照高中優質化輔助方案經費要點，就各直轄市、縣（市）政府財力級次，給予不同補助比率，屬第一級者，最高補助比率為百分之八十；屬第二級者，最高補助比率為</t>
    <phoneticPr fontId="1" type="noConversion"/>
  </si>
  <si>
    <r>
      <t>單位：</t>
    </r>
    <r>
      <rPr>
        <sz val="12"/>
        <color indexed="10"/>
        <rFont val="細明體"/>
        <family val="3"/>
        <charset val="136"/>
      </rPr>
      <t>仟</t>
    </r>
    <r>
      <rPr>
        <sz val="12"/>
        <rFont val="細明體"/>
        <family val="3"/>
        <charset val="136"/>
      </rPr>
      <t>元</t>
    </r>
    <phoneticPr fontId="1" type="noConversion"/>
  </si>
  <si>
    <t>說明： 1. 經資門比例：經常門= 經常門總額/全學年合計；資本門= 資本門總額/全學年合計。</t>
    <phoneticPr fontId="1" type="noConversion"/>
  </si>
  <si>
    <t xml:space="preserve">             2. 年度經常門、資本門合計經費請配合國教署核定金額。</t>
    <phoneticPr fontId="1" type="noConversion"/>
  </si>
  <si>
    <t xml:space="preserve">             3. 隸屬縣市政府的學校，請依國教署補助比例和核定金額編列配合款。</t>
    <phoneticPr fontId="1" type="noConversion"/>
  </si>
  <si>
    <t xml:space="preserve">    4. 優質化專案補助款：指的是教育部的補助款</t>
    <phoneticPr fontId="1" type="noConversion"/>
  </si>
  <si>
    <t xml:space="preserve">    5. 經資門比例以1：1為原則。</t>
    <phoneticPr fontId="1" type="noConversion"/>
  </si>
  <si>
    <t>工讀費</t>
    <phoneticPr fontId="1" type="noConversion"/>
  </si>
  <si>
    <t>雜支</t>
    <phoneticPr fontId="1" type="noConversion"/>
  </si>
  <si>
    <t>經費來源</t>
    <phoneticPr fontId="1" type="noConversion"/>
  </si>
  <si>
    <t xml:space="preserve">            5.經費來源欄由學校視需求填列</t>
    <phoneticPr fontId="1" type="noConversion"/>
  </si>
  <si>
    <t>說明：1、執行情形目前無法填寫，請於109年7月31日執行完畢後，最慢於9月底前填寫，並將此108學年度完整版經費總表上傳至"資訊網/計畫資料上傳區/學校經費表。(請先刪除舊有檔案，方可上傳新檔案)</t>
    <phoneticPr fontId="1" type="noConversion"/>
  </si>
  <si>
    <t>執行情形(108年-109年9月底前填寫)</t>
    <phoneticPr fontId="1" type="noConversion"/>
  </si>
  <si>
    <r>
      <t>109</t>
    </r>
    <r>
      <rPr>
        <b/>
        <sz val="12"/>
        <rFont val="細明體"/>
        <family val="3"/>
        <charset val="136"/>
      </rPr>
      <t>會計年度合計</t>
    </r>
    <phoneticPr fontId="1" type="noConversion"/>
  </si>
  <si>
    <t>108全學年合計</t>
    <phoneticPr fontId="1" type="noConversion"/>
  </si>
  <si>
    <r>
      <t>108</t>
    </r>
    <r>
      <rPr>
        <sz val="10"/>
        <rFont val="細明體"/>
        <family val="3"/>
        <charset val="136"/>
      </rPr>
      <t>會計年度︵</t>
    </r>
    <r>
      <rPr>
        <sz val="10"/>
        <rFont val="Apple LiGothic Medium"/>
        <family val="2"/>
      </rPr>
      <t>108</t>
    </r>
    <r>
      <rPr>
        <sz val="10"/>
        <rFont val="細明體"/>
        <family val="3"/>
        <charset val="136"/>
      </rPr>
      <t>學年上學期︶</t>
    </r>
    <r>
      <rPr>
        <sz val="10"/>
        <color indexed="8"/>
        <rFont val="Apple LiGothic Medium"/>
        <family val="2"/>
      </rPr>
      <t/>
    </r>
    <phoneticPr fontId="1" type="noConversion"/>
  </si>
  <si>
    <r>
      <t>109</t>
    </r>
    <r>
      <rPr>
        <sz val="10"/>
        <rFont val="細明體"/>
        <family val="3"/>
        <charset val="136"/>
      </rPr>
      <t>會計年度︵</t>
    </r>
    <r>
      <rPr>
        <sz val="10"/>
        <rFont val="Apple LiGothic Medium"/>
        <family val="2"/>
      </rPr>
      <t>108</t>
    </r>
    <r>
      <rPr>
        <sz val="10"/>
        <rFont val="細明體"/>
        <family val="3"/>
        <charset val="136"/>
      </rPr>
      <t>學年下學期︶</t>
    </r>
    <phoneticPr fontId="1" type="noConversion"/>
  </si>
  <si>
    <t>108-A-1</t>
    <phoneticPr fontId="1" type="noConversion"/>
  </si>
  <si>
    <t>108-A-2</t>
  </si>
  <si>
    <t>108-A-3</t>
  </si>
  <si>
    <t>108-A-4</t>
  </si>
  <si>
    <t>108-A-5</t>
  </si>
  <si>
    <t>108-C-1</t>
    <phoneticPr fontId="1" type="noConversion"/>
  </si>
  <si>
    <t>108-C-2</t>
  </si>
  <si>
    <t>108-D-1</t>
    <phoneticPr fontId="1" type="noConversion"/>
  </si>
  <si>
    <t>108-D-2</t>
  </si>
  <si>
    <t>108-A-1</t>
    <phoneticPr fontId="1" type="noConversion"/>
  </si>
  <si>
    <t>108-B-1</t>
    <phoneticPr fontId="1" type="noConversion"/>
  </si>
  <si>
    <t>108-B-2</t>
  </si>
  <si>
    <t>108-B-3</t>
  </si>
  <si>
    <t>108-C-1</t>
    <phoneticPr fontId="1" type="noConversion"/>
  </si>
  <si>
    <t>108-C-3</t>
  </si>
  <si>
    <t>108-C-3</t>
    <phoneticPr fontId="1" type="noConversion"/>
  </si>
  <si>
    <t>108會計年度概算表(8-12月)</t>
    <phoneticPr fontId="1" type="noConversion"/>
  </si>
  <si>
    <t xml:space="preserve">109會計年度合計  </t>
    <phoneticPr fontId="1" type="noConversion"/>
  </si>
  <si>
    <t>109會計年度概算表(1-7月)</t>
    <phoneticPr fontId="1" type="noConversion"/>
  </si>
  <si>
    <t>108會計年度(8-12月)</t>
    <phoneticPr fontId="1" type="noConversion"/>
  </si>
  <si>
    <t>109會計年度(1-7月)</t>
    <phoneticPr fontId="1" type="noConversion"/>
  </si>
  <si>
    <t>108學年度</t>
    <phoneticPr fontId="1" type="noConversion"/>
  </si>
  <si>
    <r>
      <t>108</t>
    </r>
    <r>
      <rPr>
        <b/>
        <sz val="12"/>
        <rFont val="細明體"/>
        <family val="3"/>
        <charset val="136"/>
      </rPr>
      <t>會計年度合計</t>
    </r>
    <phoneticPr fontId="1" type="noConversion"/>
  </si>
  <si>
    <t>108-D-1</t>
    <phoneticPr fontId="1" type="noConversion"/>
  </si>
  <si>
    <t>108-D-2</t>
    <phoneticPr fontId="1" type="noConversion"/>
  </si>
  <si>
    <t>A</t>
    <phoneticPr fontId="1" type="noConversion"/>
  </si>
  <si>
    <t>節</t>
  </si>
  <si>
    <t>講座助理鐘點費</t>
  </si>
  <si>
    <t>授課鐘點費</t>
  </si>
  <si>
    <t>諮詢費</t>
  </si>
  <si>
    <t>人次</t>
  </si>
  <si>
    <t>印刷費</t>
  </si>
  <si>
    <t>資料蒐集費</t>
  </si>
  <si>
    <t>國內旅費</t>
  </si>
  <si>
    <t>膳宿費</t>
  </si>
  <si>
    <t>人日</t>
  </si>
  <si>
    <t>租車費</t>
  </si>
  <si>
    <t>輛</t>
  </si>
  <si>
    <t>材料費</t>
  </si>
  <si>
    <t>物品費</t>
  </si>
  <si>
    <t>保險費</t>
  </si>
  <si>
    <t>場地使用費</t>
  </si>
  <si>
    <t>工讀費</t>
  </si>
  <si>
    <t>小時</t>
  </si>
  <si>
    <t>全民健康保險補充保費</t>
  </si>
  <si>
    <t>式</t>
  </si>
  <si>
    <t>次</t>
  </si>
  <si>
    <t>設備維護費</t>
  </si>
  <si>
    <t>雜支</t>
  </si>
  <si>
    <r>
      <t>講座鐘點費</t>
    </r>
    <r>
      <rPr>
        <sz val="12"/>
        <color indexed="8"/>
        <rFont val="標楷體"/>
        <family val="4"/>
        <charset val="136"/>
      </rPr>
      <t>(外聘)</t>
    </r>
  </si>
  <si>
    <t>經</t>
    <phoneticPr fontId="1" type="noConversion"/>
  </si>
  <si>
    <t>編號</t>
    <phoneticPr fontId="1" type="noConversion"/>
  </si>
  <si>
    <t>計畫</t>
    <phoneticPr fontId="1" type="noConversion"/>
  </si>
  <si>
    <t>子計畫</t>
    <phoneticPr fontId="1" type="noConversion"/>
  </si>
  <si>
    <t>年度</t>
    <phoneticPr fontId="1" type="noConversion"/>
  </si>
  <si>
    <t>經費項目</t>
    <phoneticPr fontId="1" type="noConversion"/>
  </si>
  <si>
    <t>單位</t>
    <phoneticPr fontId="1" type="noConversion"/>
  </si>
  <si>
    <t>數量</t>
    <phoneticPr fontId="1" type="noConversion"/>
  </si>
  <si>
    <t>單價</t>
    <phoneticPr fontId="1" type="noConversion"/>
  </si>
  <si>
    <t>總價</t>
    <phoneticPr fontId="1" type="noConversion"/>
  </si>
  <si>
    <t>國際視野</t>
    <phoneticPr fontId="1" type="noConversion"/>
  </si>
  <si>
    <t>經資門</t>
    <phoneticPr fontId="1" type="noConversion"/>
  </si>
  <si>
    <t>A</t>
  </si>
  <si>
    <t>A</t>
    <phoneticPr fontId="1" type="noConversion"/>
  </si>
  <si>
    <t>A</t>
    <phoneticPr fontId="1" type="noConversion"/>
  </si>
  <si>
    <t>這欄不用填</t>
    <phoneticPr fontId="1" type="noConversion"/>
  </si>
  <si>
    <t>用途</t>
    <phoneticPr fontId="1" type="noConversion"/>
  </si>
  <si>
    <t>講座鐘點費(內聘)</t>
  </si>
  <si>
    <t>次</t>
    <phoneticPr fontId="1" type="noConversion"/>
  </si>
  <si>
    <t>D</t>
    <phoneticPr fontId="1" type="noConversion"/>
  </si>
  <si>
    <t>mbot</t>
    <phoneticPr fontId="1" type="noConversion"/>
  </si>
  <si>
    <t>組</t>
    <phoneticPr fontId="1" type="noConversion"/>
  </si>
  <si>
    <t>經</t>
    <phoneticPr fontId="1" type="noConversion"/>
  </si>
  <si>
    <t>探究</t>
    <phoneticPr fontId="1" type="noConversion"/>
  </si>
  <si>
    <t>物品費</t>
    <phoneticPr fontId="1" type="noConversion"/>
  </si>
  <si>
    <t>材料費</t>
    <phoneticPr fontId="1" type="noConversion"/>
  </si>
  <si>
    <t>人次</t>
    <phoneticPr fontId="1" type="noConversion"/>
  </si>
  <si>
    <t>支</t>
    <phoneticPr fontId="1" type="noConversion"/>
  </si>
  <si>
    <t>個</t>
    <phoneticPr fontId="1" type="noConversion"/>
  </si>
  <si>
    <t>箱</t>
    <phoneticPr fontId="1" type="noConversion"/>
  </si>
  <si>
    <t>資</t>
    <phoneticPr fontId="1" type="noConversion"/>
  </si>
  <si>
    <t>合唱團</t>
    <phoneticPr fontId="1" type="noConversion"/>
  </si>
  <si>
    <t>筆記型電腦</t>
    <phoneticPr fontId="1" type="noConversion"/>
  </si>
  <si>
    <t>臺</t>
    <phoneticPr fontId="1" type="noConversion"/>
  </si>
  <si>
    <t>藝文領域課程、社團、合唱團表演品質提升</t>
    <phoneticPr fontId="1" type="noConversion"/>
  </si>
  <si>
    <t>學生獎學金</t>
  </si>
  <si>
    <t>獎學金</t>
    <phoneticPr fontId="1" type="noConversion"/>
  </si>
  <si>
    <t>講座鐘點費(外聘)</t>
  </si>
  <si>
    <t>這欄不用填</t>
  </si>
  <si>
    <t>在地新屋</t>
    <phoneticPr fontId="1" type="noConversion"/>
  </si>
  <si>
    <t>孫計畫</t>
    <phoneticPr fontId="1" type="noConversion"/>
  </si>
  <si>
    <t>數位相機</t>
    <phoneticPr fontId="1" type="noConversion"/>
  </si>
  <si>
    <t>D</t>
    <phoneticPr fontId="1" type="noConversion"/>
  </si>
  <si>
    <t>D</t>
    <phoneticPr fontId="1" type="noConversion"/>
  </si>
  <si>
    <t>B</t>
  </si>
  <si>
    <t>套</t>
  </si>
  <si>
    <t>B-1社群研習*12節</t>
  </si>
  <si>
    <t>B-1 研習講義40*30=1200</t>
  </si>
  <si>
    <t xml:space="preserve">一、圖書之購置以具有專門性且與計畫直接有關者為限。
二、擬購圖書應詳列其名稱、數量、單價及總價於計畫申請書中。
三、總計畫編列上限為30,000元。
B-2 空想科學讀本11冊共3000
</t>
  </si>
  <si>
    <t>B-1 研習講師交通費6*1000=2000</t>
  </si>
  <si>
    <t>B-1 研習膳費40人*80元=3200</t>
  </si>
  <si>
    <t>B-1 研習材料40人*200元=8000</t>
  </si>
  <si>
    <t>每人保額最高300萬元。除特殊需求如登百岳等危險活動外，保費可預估每人30元。</t>
  </si>
  <si>
    <t>B-1二代健保</t>
  </si>
  <si>
    <t>B-1 雜支6000</t>
  </si>
  <si>
    <t>三大社群</t>
    <phoneticPr fontId="1" type="noConversion"/>
  </si>
  <si>
    <t>經</t>
    <phoneticPr fontId="1" type="noConversion"/>
  </si>
  <si>
    <t>B-2自然捲社群研習*4節</t>
  </si>
  <si>
    <t>B-2社群研習* 8節</t>
  </si>
  <si>
    <t>B-2 研習講義20*30=600</t>
  </si>
  <si>
    <t>B-2 研習講師交通費2*1000=2000</t>
  </si>
  <si>
    <t>B-2 研習膳費20人*80=1600</t>
  </si>
  <si>
    <t>B-2 研習材料20人*200=4000</t>
  </si>
  <si>
    <t>B-2 物品</t>
  </si>
  <si>
    <t>B-2 二代健保</t>
  </si>
  <si>
    <t>B-2設備維護費</t>
  </si>
  <si>
    <t>B-2 雜支2390</t>
  </si>
  <si>
    <t>自然捲</t>
    <phoneticPr fontId="1" type="noConversion"/>
  </si>
  <si>
    <t>B</t>
    <phoneticPr fontId="1" type="noConversion"/>
  </si>
  <si>
    <t>三大社群</t>
    <phoneticPr fontId="1" type="noConversion"/>
  </si>
  <si>
    <t>108-B-2</t>
    <phoneticPr fontId="1" type="noConversion"/>
  </si>
  <si>
    <t>108-B-3</t>
    <phoneticPr fontId="1" type="noConversion"/>
  </si>
  <si>
    <t>雜支</t>
    <phoneticPr fontId="1" type="noConversion"/>
  </si>
  <si>
    <t>式</t>
    <phoneticPr fontId="1" type="noConversion"/>
  </si>
  <si>
    <t>校際交流</t>
    <phoneticPr fontId="1" type="noConversion"/>
  </si>
  <si>
    <t>C</t>
    <phoneticPr fontId="1" type="noConversion"/>
  </si>
  <si>
    <t>諮詢費</t>
    <phoneticPr fontId="1" type="noConversion"/>
  </si>
  <si>
    <t>區域諮輔</t>
    <phoneticPr fontId="1" type="noConversion"/>
  </si>
  <si>
    <t>經</t>
    <phoneticPr fontId="1" type="noConversion"/>
  </si>
  <si>
    <t>人次</t>
    <phoneticPr fontId="1" type="noConversion"/>
  </si>
  <si>
    <t>C-2 專家諮輔</t>
    <phoneticPr fontId="1" type="noConversion"/>
  </si>
  <si>
    <t>國內旅費</t>
    <phoneticPr fontId="1" type="noConversion"/>
  </si>
  <si>
    <t>膳宿費</t>
    <phoneticPr fontId="1" type="noConversion"/>
  </si>
  <si>
    <t>人日</t>
    <phoneticPr fontId="1" type="noConversion"/>
  </si>
  <si>
    <t>C-2 專家諮輔及校內教師參加高優相關增能研習之交通費</t>
    <phoneticPr fontId="1" type="noConversion"/>
  </si>
  <si>
    <t>印刷費</t>
    <phoneticPr fontId="1" type="noConversion"/>
  </si>
  <si>
    <t>份</t>
    <phoneticPr fontId="1" type="noConversion"/>
  </si>
  <si>
    <t>C-2 專家諮輔及校內教師參加高優相關會議或研習之交通費</t>
    <phoneticPr fontId="1" type="noConversion"/>
  </si>
  <si>
    <t>C-2 專家諮輔及課程審查評鑑等相關會議研習印刷費</t>
    <phoneticPr fontId="1" type="noConversion"/>
  </si>
  <si>
    <t>C-3校際交流</t>
    <phoneticPr fontId="1" type="noConversion"/>
  </si>
  <si>
    <t>課發會</t>
    <phoneticPr fontId="1" type="noConversion"/>
  </si>
  <si>
    <t>C</t>
    <phoneticPr fontId="1" type="noConversion"/>
  </si>
  <si>
    <t>課發會及增能研習</t>
    <phoneticPr fontId="1" type="noConversion"/>
  </si>
  <si>
    <t>D</t>
    <phoneticPr fontId="1" type="noConversion"/>
  </si>
  <si>
    <t>D</t>
    <phoneticPr fontId="1" type="noConversion"/>
  </si>
  <si>
    <t>???</t>
    <phoneticPr fontId="1" type="noConversion"/>
  </si>
  <si>
    <t>三大社群資本門</t>
    <phoneticPr fontId="1" type="noConversion"/>
  </si>
  <si>
    <t>物品費</t>
    <phoneticPr fontId="1" type="noConversion"/>
  </si>
  <si>
    <t>A</t>
    <phoneticPr fontId="1" type="noConversion"/>
  </si>
  <si>
    <t>支</t>
    <phoneticPr fontId="1" type="noConversion"/>
  </si>
  <si>
    <t>A</t>
    <phoneticPr fontId="1" type="noConversion"/>
  </si>
  <si>
    <t>B-2 研習材料20人*200=4000(望遠鏡光譜儀飛機)</t>
    <phoneticPr fontId="1" type="noConversion"/>
  </si>
  <si>
    <t>雷射切割機</t>
    <phoneticPr fontId="60" type="noConversion"/>
  </si>
  <si>
    <t>動力機構氣壓套件組</t>
    <phoneticPr fontId="60" type="noConversion"/>
  </si>
  <si>
    <t>煙塵淨化機</t>
    <phoneticPr fontId="60" type="noConversion"/>
  </si>
  <si>
    <t>台</t>
    <phoneticPr fontId="60" type="noConversion"/>
  </si>
  <si>
    <t>套</t>
    <phoneticPr fontId="60" type="noConversion"/>
  </si>
  <si>
    <t>搭配生活領域機電整合課程使用</t>
    <phoneticPr fontId="60" type="noConversion"/>
  </si>
  <si>
    <t>雷射切割煙塵過濾淨化使用</t>
    <phoneticPr fontId="60" type="noConversion"/>
  </si>
  <si>
    <t>健康身心靈</t>
    <phoneticPr fontId="1" type="noConversion"/>
  </si>
  <si>
    <t>健康身心靈-探索與體驗課程</t>
    <phoneticPr fontId="1" type="noConversion"/>
  </si>
  <si>
    <t>健康身心靈-教師研習社群(探索與體驗課程、趣味品生活、舞動人生、心靈饗宴)</t>
    <phoneticPr fontId="1" type="noConversion"/>
  </si>
  <si>
    <t>探索與體驗課程</t>
    <phoneticPr fontId="1" type="noConversion"/>
  </si>
  <si>
    <t>研習材料40人*200=8000</t>
    <phoneticPr fontId="1" type="noConversion"/>
  </si>
  <si>
    <t>B-2 雜支2390</t>
    <phoneticPr fontId="1" type="noConversion"/>
  </si>
  <si>
    <t>微型電腦開發板(程式開發課程使用(含主板、擴充板、感測器、輸入輸出元件、麵包板、線材等)</t>
    <phoneticPr fontId="60" type="noConversion"/>
  </si>
  <si>
    <t>桌上型電腦</t>
    <phoneticPr fontId="60" type="noConversion"/>
  </si>
  <si>
    <t>錄音筆</t>
    <phoneticPr fontId="1" type="noConversion"/>
  </si>
  <si>
    <t>A-1：Mark Blohm 老師蒞校對學生講授如何寫英文學測作文，講座*2節。</t>
    <phoneticPr fontId="1" type="noConversion"/>
  </si>
  <si>
    <t>A-1：於假日辦理東南亞體驗活動6節、移工交流活動6節、古今中外去過節活動8節(協同教學)。</t>
    <phoneticPr fontId="1" type="noConversion"/>
  </si>
  <si>
    <t>A-1：走遍古今中外去過節:台中遊覽車一台。世界公民選修課東南亞體驗活動桃園遊覽車一台、移工交流活動鶯歌遊覽車一台。</t>
    <phoneticPr fontId="1" type="noConversion"/>
  </si>
  <si>
    <t>A-1：東南亞書店場地費</t>
    <phoneticPr fontId="1" type="noConversion"/>
  </si>
  <si>
    <t>A-1：東南亞體驗活動小隊輔4位</t>
    <phoneticPr fontId="1" type="noConversion"/>
  </si>
  <si>
    <t>A-1：這欄不用填</t>
    <phoneticPr fontId="1" type="noConversion"/>
  </si>
  <si>
    <t>A-1：國際大視野雜支</t>
    <phoneticPr fontId="1" type="noConversion"/>
  </si>
  <si>
    <t>D-1：領域研習*8節</t>
    <phoneticPr fontId="1" type="noConversion"/>
  </si>
  <si>
    <t>D-1：領域研習講師交通費</t>
    <phoneticPr fontId="1" type="noConversion"/>
  </si>
  <si>
    <t>D-1：mBot及收納箱</t>
    <phoneticPr fontId="1" type="noConversion"/>
  </si>
  <si>
    <t>D-2：入學獎學金+續發獎學金共11人</t>
    <phoneticPr fontId="1" type="noConversion"/>
  </si>
  <si>
    <t>A-1：舒肥機(探究實作課程用)</t>
    <phoneticPr fontId="1" type="noConversion"/>
  </si>
  <si>
    <t>A-1：食物料理棒(探究實作課程用)</t>
    <phoneticPr fontId="1" type="noConversion"/>
  </si>
  <si>
    <t>A-1：電動攪拌器(探究實作課程用)</t>
    <phoneticPr fontId="1" type="noConversion"/>
  </si>
  <si>
    <t>A-1：迷你瓦爐(登山爐)(探究實作課程用)</t>
    <phoneticPr fontId="1" type="noConversion"/>
  </si>
  <si>
    <t>A-1：手提式收納盒(探究實作課程用)</t>
    <phoneticPr fontId="1" type="noConversion"/>
  </si>
  <si>
    <t>A-1：隨身電子秤(探究實作課程用)</t>
    <phoneticPr fontId="1" type="noConversion"/>
  </si>
  <si>
    <t>A-1：電子溫度計(探究實作課程用)</t>
    <phoneticPr fontId="1" type="noConversion"/>
  </si>
  <si>
    <t>A-1：多元選修材料費(新屋星事望遠鏡、光譜儀DIY等)</t>
    <phoneticPr fontId="1" type="noConversion"/>
  </si>
  <si>
    <t>A-1：探究與實作及多元選修雜支</t>
    <phoneticPr fontId="1" type="noConversion"/>
  </si>
  <si>
    <t>A-1：新屋走透透印刷費。(地方文史教材30份*30元，新屋踏查教材及手冊30份*30元，地理實察之教材及手冊30份*30元)</t>
    <phoneticPr fontId="1" type="noConversion"/>
  </si>
  <si>
    <t>A-1：新屋走透透(地方文史工作者講授課程*4節，地理專業講師於地理實察前對學生講授專業課程*4節，地理專業講師實察鐘點費*4節)</t>
    <phoneticPr fontId="1" type="noConversion"/>
  </si>
  <si>
    <t>A-1：新屋走透透(地理實察5名帶隊教師當日課務（每人以6節計)委由其他教師代課之鐘點費。(本校位於觀新藻礁區內，希望能將地理實察聚焦成為特色活動，但因學校教師人數少課務多，帶全校學生出門之教師課務皆須調課處理，不利活動進行，故編列此項鐘點費。)</t>
    <phoneticPr fontId="1" type="noConversion"/>
  </si>
  <si>
    <t>A-1：新屋走透透(地理領域專業講師(2次)往返台北桃園高鐵車票320/次)</t>
    <phoneticPr fontId="1" type="noConversion"/>
  </si>
  <si>
    <t>A-1：新屋走透透(地理實察午餐31人*80元/人)</t>
    <phoneticPr fontId="1" type="noConversion"/>
  </si>
  <si>
    <t>A-1：新屋走透透(地理實察遊覽車*1台)</t>
    <phoneticPr fontId="1" type="noConversion"/>
  </si>
  <si>
    <t>A-1：新屋走透透(地方文史、新屋踏查、地理實察之學生戶外活動保險，每次25人，每人30元)</t>
    <phoneticPr fontId="1" type="noConversion"/>
  </si>
  <si>
    <t>A-1：新屋走透透(手寫板、雨衣、飲用水、急救包等)</t>
    <phoneticPr fontId="1" type="noConversion"/>
  </si>
  <si>
    <t>A-1：簡報筆R800(多元選修向大師致敬)</t>
    <phoneticPr fontId="1" type="noConversion"/>
  </si>
  <si>
    <t>A-1：簡報筆R400(多元選修向大師致敬)</t>
    <phoneticPr fontId="1" type="noConversion"/>
  </si>
  <si>
    <t>A-1：指星用雷射筆(多元選修新屋星事使用)</t>
    <phoneticPr fontId="1" type="noConversion"/>
  </si>
  <si>
    <t>A-1：行動顯微鏡(多元選修生活中的科學觀察使用)</t>
    <phoneticPr fontId="1" type="noConversion"/>
  </si>
  <si>
    <t>A-1：氣壓計(探究與實作使用)</t>
    <phoneticPr fontId="1" type="noConversion"/>
  </si>
  <si>
    <t>A-1：手機攝影套筒((多元選修生活中的科學觀察使用))UPE340PL</t>
    <phoneticPr fontId="1" type="noConversion"/>
  </si>
  <si>
    <t>A-1：多元選修材料費(新屋走透透地理實察材料)</t>
    <phoneticPr fontId="1" type="noConversion"/>
  </si>
  <si>
    <t>A-1：探究與實作材料費(分子料理課程使用：食用級海藻酸鈉、食用級氯化鈣、鋁杯、鋁線(2.5mm)、蠟燭( 28 * 1.8 cm)、硼砂、膠水補充罐、蝶豆花)</t>
    <phoneticPr fontId="1" type="noConversion"/>
  </si>
  <si>
    <t>A-1：多元選修材料費(世界公民東南亞體驗活動材料、移工交流活動材料)</t>
  </si>
  <si>
    <t>A-1：多元選修材料費(世界公民東南亞體驗活動材料、移工交流活動材料)</t>
    <phoneticPr fontId="1" type="noConversion"/>
  </si>
  <si>
    <t>A-1：多元選修材料費</t>
    <phoneticPr fontId="1" type="noConversion"/>
  </si>
  <si>
    <t>A-2：多元選修材料費</t>
  </si>
  <si>
    <r>
      <rPr>
        <b/>
        <sz val="16"/>
        <rFont val="新細明體"/>
        <family val="1"/>
        <charset val="136"/>
      </rPr>
      <t>表</t>
    </r>
    <r>
      <rPr>
        <b/>
        <sz val="16"/>
        <rFont val="Apple LiGothic Medium"/>
        <family val="2"/>
      </rPr>
      <t xml:space="preserve">y-3-1 </t>
    </r>
    <r>
      <rPr>
        <b/>
        <sz val="16"/>
        <rFont val="新細明體"/>
        <family val="1"/>
        <charset val="136"/>
      </rPr>
      <t>新屋高</t>
    </r>
    <r>
      <rPr>
        <b/>
        <sz val="16"/>
        <rFont val="細明體"/>
        <family val="3"/>
        <charset val="136"/>
      </rPr>
      <t>中優質化年度子計畫經費概算表</t>
    </r>
    <r>
      <rPr>
        <b/>
        <sz val="16"/>
        <rFont val="Apple LiGothic Medium"/>
        <family val="2"/>
      </rPr>
      <t>(8-12</t>
    </r>
    <r>
      <rPr>
        <b/>
        <sz val="16"/>
        <rFont val="細明體"/>
        <family val="3"/>
        <charset val="136"/>
      </rPr>
      <t>月</t>
    </r>
    <r>
      <rPr>
        <b/>
        <sz val="16"/>
        <rFont val="Apple LiGothic Medium"/>
        <family val="2"/>
      </rPr>
      <t>)</t>
    </r>
    <phoneticPr fontId="1" type="noConversion"/>
  </si>
  <si>
    <r>
      <rPr>
        <b/>
        <sz val="16"/>
        <rFont val="新細明體"/>
        <family val="1"/>
        <charset val="136"/>
      </rPr>
      <t>表</t>
    </r>
    <r>
      <rPr>
        <b/>
        <sz val="16"/>
        <rFont val="Apple LiGothic Medium"/>
        <family val="2"/>
      </rPr>
      <t xml:space="preserve">y-3-2 </t>
    </r>
    <r>
      <rPr>
        <b/>
        <sz val="16"/>
        <rFont val="新細明體"/>
        <family val="1"/>
        <charset val="136"/>
      </rPr>
      <t>新屋高</t>
    </r>
    <r>
      <rPr>
        <b/>
        <sz val="16"/>
        <rFont val="細明體"/>
        <family val="3"/>
        <charset val="136"/>
      </rPr>
      <t>中優質化年度子計畫經費概算表</t>
    </r>
    <r>
      <rPr>
        <b/>
        <sz val="16"/>
        <rFont val="Apple LiGothic Medium"/>
        <family val="2"/>
      </rPr>
      <t>(1-7</t>
    </r>
    <r>
      <rPr>
        <b/>
        <sz val="16"/>
        <rFont val="細明體"/>
        <family val="3"/>
        <charset val="136"/>
      </rPr>
      <t>月</t>
    </r>
    <r>
      <rPr>
        <b/>
        <sz val="16"/>
        <rFont val="Apple LiGothic Medium"/>
        <family val="2"/>
      </rPr>
      <t>)</t>
    </r>
    <phoneticPr fontId="1" type="noConversion"/>
  </si>
  <si>
    <t>A-1：新屋走透透(地理實察5名帶隊教師當日課務（每人以6節計)委由其他教師代課之鐘點費。(本校位於觀新藻礁區內，希望能將地理實察聚焦成為特色活動，但因學校教師人數少課務多，帶全校學生出門之教師課務皆須調課處理，不利活動進行，故編列此項鐘點費。)</t>
  </si>
  <si>
    <t>A-1：假日辦理東南亞體驗活動*6節、移工交流活動*6節、走遍古今中外去過節活動*8節(協同教學)。</t>
  </si>
  <si>
    <t>A-1：新屋走透透印刷費。(地方文史教材30份*30元，新屋踏查教材及手冊30份*30元，地理實察之教材及手冊30份*30元)</t>
  </si>
  <si>
    <t>A-1：新屋走透透(地理領域專業講師(2次)往返台北桃園高鐵車票320/次)</t>
  </si>
  <si>
    <t>A-1：走遍古今中外去過節:台中遊覽車一台。世界公民選修課東南亞體驗活動桃園遊覽車一台、移工交流活動鶯歌遊覽車一台。</t>
  </si>
  <si>
    <t>支</t>
  </si>
  <si>
    <t>A-1：舒肥機(探究實作課程用)</t>
  </si>
  <si>
    <t>A-1：食物料理棒(探究實作課程用)</t>
  </si>
  <si>
    <t>A-1：指星用雷射筆(多元選修新屋星事使用)</t>
  </si>
  <si>
    <t>A-1：電動攪拌器(探究實作課程用)</t>
  </si>
  <si>
    <t>個</t>
  </si>
  <si>
    <t>A-1：迷你瓦爐(登山爐)(探究實作課程用)</t>
  </si>
  <si>
    <t>箱</t>
  </si>
  <si>
    <t>A-1：手提式收納盒(探究實作課程用)</t>
  </si>
  <si>
    <t>A-1：隨身電子秤(探究實作課程用)</t>
  </si>
  <si>
    <t>A-1：電子溫度計(探究實作課程用)</t>
  </si>
  <si>
    <t>A-1：簡報筆R800(多元選修向大師致敬)</t>
  </si>
  <si>
    <t>A-1：氣壓計(探究與實作使用)</t>
  </si>
  <si>
    <t>A-1：東南亞體驗活動、移工交流、走遍古今中外去過節</t>
  </si>
  <si>
    <t>A-1：新屋走透透(地方文史、新屋踏查、地理實察之學生戶外活動保險，每次25人，每人30元)</t>
  </si>
  <si>
    <t>A-1：東南亞書店場地費</t>
  </si>
  <si>
    <t>A-1：東南亞體驗活動及移工交流活動工讀生4人*1小時</t>
  </si>
  <si>
    <t>A-1：走遍古今中外去過節講座*2節，新屋走透透(地方文史工作者講授課程*4節，地理專業講師於地理實察前對學生講授專業課程*4節，地理專業講師實察鐘點費*4節)。</t>
    <phoneticPr fontId="1" type="noConversion"/>
  </si>
  <si>
    <t>份</t>
  </si>
  <si>
    <t>份</t>
    <phoneticPr fontId="1" type="noConversion"/>
  </si>
  <si>
    <t>A-1：走遍古今中外去過節:台中遊覽車一台。世界公民選修課東南亞體驗活動桃園遊覽車一台、移工交流活動鶯歌遊覽車一台。新屋走透透(地理實察遊覽車*1台)</t>
    <phoneticPr fontId="1" type="noConversion"/>
  </si>
  <si>
    <t>A-1：多元選修材料費(新屋走透透地理實察材料*30人次)(世界公民東南亞體驗活動材料*20人次、移工交流活動材料*20人次)(新屋星事*50)(其它多元選修*40人次)(探究與實作分子料理費*80人次)</t>
    <phoneticPr fontId="1" type="noConversion"/>
  </si>
  <si>
    <t>A-1：新屋走透透(地理實察午餐*31人)</t>
    <phoneticPr fontId="1" type="noConversion"/>
  </si>
  <si>
    <t>A-1：簡報筆R400(多元選修向大師致敬)</t>
    <phoneticPr fontId="1" type="noConversion"/>
  </si>
  <si>
    <t>A-1：錄音筆(多元選修課程共用)</t>
    <phoneticPr fontId="1" type="noConversion"/>
  </si>
  <si>
    <t>A-1：手機攝影套筒(多元選修生活中的科學觀察使用)</t>
    <phoneticPr fontId="1" type="noConversion"/>
  </si>
  <si>
    <t>A-1：微型電腦開發板(多元選修程式開發課程使用，含主板、擴充板、感測器、輸入輸出元件、麵包板、線材等)</t>
    <phoneticPr fontId="1" type="noConversion"/>
  </si>
  <si>
    <t>A-1：校定必修、探究與實作及多元選修雜支(電池、文具、紙張、耗材、手寫板、雨衣、飲用水、急救包...等)</t>
    <phoneticPr fontId="1" type="noConversion"/>
  </si>
  <si>
    <t>子計畫名稱:新課綱課程總體發展計畫</t>
    <phoneticPr fontId="1" type="noConversion"/>
  </si>
  <si>
    <t>A-1：行動顯微鏡(多元選修生活中的科學觀察用)</t>
    <phoneticPr fontId="1" type="noConversion"/>
  </si>
  <si>
    <t>A-1：多元選修材料費(世界公民東南亞體驗活動材料*20人次、移工交流活動材料*20人次)(新屋星事*50)(其它多元選修*60人次)</t>
    <phoneticPr fontId="1" type="noConversion"/>
  </si>
  <si>
    <t>子計畫代碼:B-1　</t>
    <phoneticPr fontId="1" type="noConversion"/>
  </si>
  <si>
    <t>雷射切割機</t>
  </si>
  <si>
    <t>台</t>
  </si>
  <si>
    <t>煙塵淨化機</t>
  </si>
  <si>
    <t>桌上型電腦</t>
  </si>
  <si>
    <t>組</t>
  </si>
  <si>
    <t>筆記型電腦</t>
  </si>
  <si>
    <t>臺</t>
  </si>
  <si>
    <t>動力機構氣壓套件組</t>
  </si>
  <si>
    <t>搭配生活領域機電整合課程使用</t>
  </si>
  <si>
    <t>雷射切割煙塵過濾淨化使用</t>
  </si>
  <si>
    <t xml:space="preserve">108會計年度合計  </t>
    <phoneticPr fontId="1" type="noConversion"/>
  </si>
  <si>
    <t>子計畫代碼:B-1　</t>
    <phoneticPr fontId="1" type="noConversion"/>
  </si>
  <si>
    <t>B-1健康身心靈社群研習*24節，科技新人文社群*4節，國際大視野社群研習*4節)</t>
    <phoneticPr fontId="1" type="noConversion"/>
  </si>
  <si>
    <t>B-1健康身心靈社群研習*4節，科技新人文社群研習*4節，國際大視野社群研習*4節</t>
    <phoneticPr fontId="1" type="noConversion"/>
  </si>
  <si>
    <t>B-1健康身心靈社群研習*20節，</t>
    <phoneticPr fontId="1" type="noConversion"/>
  </si>
  <si>
    <t>份</t>
    <phoneticPr fontId="1" type="noConversion"/>
  </si>
  <si>
    <t>B-1 社群研習講義60份*30元</t>
    <phoneticPr fontId="1" type="noConversion"/>
  </si>
  <si>
    <t>B-1 社群研習講師交通費</t>
    <phoneticPr fontId="1" type="noConversion"/>
  </si>
  <si>
    <t>B-2 社群研習100人次*80元</t>
    <phoneticPr fontId="1" type="noConversion"/>
  </si>
  <si>
    <t>次</t>
    <phoneticPr fontId="1" type="noConversion"/>
  </si>
  <si>
    <t>B-1 研習材料費185人次*200元</t>
    <phoneticPr fontId="1" type="noConversion"/>
  </si>
  <si>
    <t>B-1健康身心靈探索體驗研習</t>
    <phoneticPr fontId="1" type="noConversion"/>
  </si>
  <si>
    <t>B-1健康身心靈探索體驗研習*2台</t>
    <phoneticPr fontId="1" type="noConversion"/>
  </si>
  <si>
    <t>B-1健康身心靈社群研習*20節(探索與體驗課程、趣味品生活、旅遊規劃、陶藝課程、攝影課程、味覺挑動、甜點製作、身心靈保健、HIT新高好客人、舞動人生、心靈饗宴等)</t>
    <phoneticPr fontId="1" type="noConversion"/>
  </si>
  <si>
    <t>B-1健康身心靈社群研習*20節</t>
    <phoneticPr fontId="1" type="noConversion"/>
  </si>
  <si>
    <t>B-1二代健保</t>
    <phoneticPr fontId="1" type="noConversion"/>
  </si>
  <si>
    <t>B-1 教師社群研習文具紙張耗材等</t>
    <phoneticPr fontId="1" type="noConversion"/>
  </si>
  <si>
    <t>子計畫代碼:B-2　</t>
    <phoneticPr fontId="1" type="noConversion"/>
  </si>
  <si>
    <t>子計畫名稱:「探究與實作」教師增能計畫</t>
    <phoneticPr fontId="1" type="noConversion"/>
  </si>
  <si>
    <t>子計畫名稱:「新高學」教師增能計畫</t>
    <phoneticPr fontId="1" type="noConversion"/>
  </si>
  <si>
    <t>B-2社群研習*8節</t>
  </si>
  <si>
    <t>B-2社群研習*8節</t>
    <phoneticPr fontId="1" type="noConversion"/>
  </si>
  <si>
    <t>份</t>
    <phoneticPr fontId="1" type="noConversion"/>
  </si>
  <si>
    <t xml:space="preserve">B-2 空想科學讀本11冊共3000
</t>
    <phoneticPr fontId="1" type="noConversion"/>
  </si>
  <si>
    <t>B-2 研習講義20份*30元</t>
  </si>
  <si>
    <t>B-2 研習講義20份*30元</t>
    <phoneticPr fontId="1" type="noConversion"/>
  </si>
  <si>
    <t>B-2 研習講師交通費</t>
  </si>
  <si>
    <t>B-2 研習講師交通費</t>
    <phoneticPr fontId="1" type="noConversion"/>
  </si>
  <si>
    <t>B-2 研習膳費20人次</t>
  </si>
  <si>
    <t>B-2 研習膳費20人次</t>
    <phoneticPr fontId="1" type="noConversion"/>
  </si>
  <si>
    <t>B-2 研習材料20人*200=4000(望遠鏡光譜儀飛機等)</t>
  </si>
  <si>
    <t>B-2 研習材料20人*200=4000(望遠鏡光譜儀飛機等)</t>
    <phoneticPr fontId="1" type="noConversion"/>
  </si>
  <si>
    <t>B-2 (社群研習相關文具紙張耗材電池等)</t>
  </si>
  <si>
    <t>B-2 (社群研習相關文具紙張耗材電池等)</t>
    <phoneticPr fontId="1" type="noConversion"/>
  </si>
  <si>
    <t>子計畫代碼:C-1　</t>
    <phoneticPr fontId="1" type="noConversion"/>
  </si>
  <si>
    <t>子計畫名稱:課發會培力計畫</t>
    <phoneticPr fontId="1" type="noConversion"/>
  </si>
  <si>
    <t>子計畫代碼:C-1　</t>
    <phoneticPr fontId="1" type="noConversion"/>
  </si>
  <si>
    <t>C-1課發會及增能研習*4節</t>
  </si>
  <si>
    <t>C-1課發會及增能研習</t>
  </si>
  <si>
    <t>C-1課發會及增能研習</t>
    <phoneticPr fontId="1" type="noConversion"/>
  </si>
  <si>
    <t>C-1課發會及增能研習</t>
    <phoneticPr fontId="1" type="noConversion"/>
  </si>
  <si>
    <t>C-1課發會及增能研習相關文具耗材紙張</t>
  </si>
  <si>
    <t>C-1課發會及增能研習相關文具耗材紙張</t>
    <phoneticPr fontId="1" type="noConversion"/>
  </si>
  <si>
    <t>子計畫代碼:C-2　</t>
    <phoneticPr fontId="1" type="noConversion"/>
  </si>
  <si>
    <t>子計畫名稱:校本及區域諮詢輔導計畫</t>
    <phoneticPr fontId="1" type="noConversion"/>
  </si>
  <si>
    <t>C-2 專家諮輔</t>
  </si>
  <si>
    <t>C-2 專家諮輔及校內教師參加高優相關會議或研習之交通費</t>
  </si>
  <si>
    <t>C-2 專家諮輔及課程審查評鑑等相關會議研習印刷費40份*40元</t>
  </si>
  <si>
    <t>C-2 專家諮輔及課程審查評鑑等相關會議研習印刷費40份*40元</t>
    <phoneticPr fontId="1" type="noConversion"/>
  </si>
  <si>
    <t>C-2 專家諮輔會議午餐80人次</t>
  </si>
  <si>
    <t>C-2 專家諮輔會議午餐80人次</t>
    <phoneticPr fontId="1" type="noConversion"/>
  </si>
  <si>
    <t>C-3校際交流</t>
  </si>
  <si>
    <t>子計畫代碼:C-3　</t>
    <phoneticPr fontId="1" type="noConversion"/>
  </si>
  <si>
    <t>子計畫名稱:校際交流計畫</t>
    <phoneticPr fontId="1" type="noConversion"/>
  </si>
  <si>
    <t>子計畫代碼:D-1　</t>
    <phoneticPr fontId="1" type="noConversion"/>
  </si>
  <si>
    <t>子計畫名稱:開放硬體(mBot課程) 計劃</t>
    <phoneticPr fontId="1" type="noConversion"/>
  </si>
  <si>
    <t>D-1：領域研習*8節</t>
  </si>
  <si>
    <t>D-1：領域研習講師交通費</t>
  </si>
  <si>
    <t>D-1：mBot及收納箱</t>
  </si>
  <si>
    <t>數位相機</t>
  </si>
  <si>
    <t>子計畫代碼:D-2　</t>
    <phoneticPr fontId="1" type="noConversion"/>
  </si>
  <si>
    <t>子計畫名稱:幸福新高─就近入學計畫</t>
    <phoneticPr fontId="1" type="noConversion"/>
  </si>
  <si>
    <t>D-2：入學獎學金+107學年度入學續發獎學金共11人</t>
  </si>
  <si>
    <t>表y-1 新屋高中優質化年度經費編列總表【108學年度】</t>
    <phoneticPr fontId="1" type="noConversion"/>
  </si>
  <si>
    <t>表y-2 新屋高中優質化年度經費編列檢核表【108學年度】</t>
    <phoneticPr fontId="1" type="noConversion"/>
  </si>
  <si>
    <r>
      <rPr>
        <sz val="12"/>
        <rFont val="標楷體"/>
        <family val="4"/>
        <charset val="136"/>
      </rPr>
      <t>新課綱課程總體發展計畫</t>
    </r>
    <phoneticPr fontId="1" type="noConversion"/>
  </si>
  <si>
    <r>
      <rPr>
        <sz val="12"/>
        <rFont val="標楷體"/>
        <family val="4"/>
        <charset val="136"/>
      </rPr>
      <t>新高學教師增能計畫</t>
    </r>
    <phoneticPr fontId="1" type="noConversion"/>
  </si>
  <si>
    <r>
      <rPr>
        <sz val="12"/>
        <rFont val="標楷體"/>
        <family val="4"/>
        <charset val="136"/>
      </rPr>
      <t>探究與實作教師增能計畫</t>
    </r>
    <phoneticPr fontId="1" type="noConversion"/>
  </si>
  <si>
    <r>
      <rPr>
        <sz val="12"/>
        <rFont val="標楷體"/>
        <family val="4"/>
        <charset val="136"/>
      </rPr>
      <t>課發會培力計畫</t>
    </r>
    <phoneticPr fontId="1" type="noConversion"/>
  </si>
  <si>
    <r>
      <rPr>
        <sz val="12"/>
        <rFont val="標楷體"/>
        <family val="4"/>
        <charset val="136"/>
      </rPr>
      <t>校本及區域諮詢輔導計畫</t>
    </r>
    <phoneticPr fontId="1" type="noConversion"/>
  </si>
  <si>
    <r>
      <rPr>
        <sz val="12"/>
        <rFont val="標楷體"/>
        <family val="4"/>
        <charset val="136"/>
      </rPr>
      <t>校際交流計畫</t>
    </r>
    <phoneticPr fontId="1" type="noConversion"/>
  </si>
  <si>
    <r>
      <rPr>
        <sz val="12"/>
        <rFont val="標楷體"/>
        <family val="4"/>
        <charset val="136"/>
      </rPr>
      <t>幸福新高─就近入學計畫</t>
    </r>
    <phoneticPr fontId="1" type="noConversion"/>
  </si>
  <si>
    <r>
      <rPr>
        <sz val="12"/>
        <rFont val="標楷體"/>
        <family val="4"/>
        <charset val="136"/>
      </rPr>
      <t>開放硬體</t>
    </r>
    <r>
      <rPr>
        <sz val="12"/>
        <rFont val="Times New Roman"/>
        <family val="1"/>
      </rPr>
      <t>(mBot</t>
    </r>
    <r>
      <rPr>
        <sz val="12"/>
        <rFont val="標楷體"/>
        <family val="4"/>
        <charset val="136"/>
      </rPr>
      <t>課程</t>
    </r>
    <r>
      <rPr>
        <sz val="12"/>
        <rFont val="Times New Roman"/>
        <family val="1"/>
      </rPr>
      <t xml:space="preserve">) </t>
    </r>
    <r>
      <rPr>
        <sz val="12"/>
        <rFont val="標楷體"/>
        <family val="4"/>
        <charset val="136"/>
      </rPr>
      <t>計劃</t>
    </r>
    <phoneticPr fontId="1" type="noConversion"/>
  </si>
  <si>
    <r>
      <t>優質化專案</t>
    </r>
    <r>
      <rPr>
        <sz val="16"/>
        <color indexed="10"/>
        <rFont val="標楷體"/>
        <family val="4"/>
        <charset val="136"/>
      </rPr>
      <t>教育部</t>
    </r>
    <r>
      <rPr>
        <sz val="16"/>
        <color indexed="8"/>
        <rFont val="標楷體"/>
        <family val="4"/>
        <charset val="136"/>
      </rPr>
      <t>補助款</t>
    </r>
    <phoneticPr fontId="1" type="noConversion"/>
  </si>
  <si>
    <t>承辦主任</t>
    <phoneticPr fontId="1" type="noConversion"/>
  </si>
  <si>
    <t>主計主任</t>
    <phoneticPr fontId="1" type="noConversion"/>
  </si>
  <si>
    <t>校長</t>
    <phoneticPr fontId="1" type="noConversion"/>
  </si>
  <si>
    <t>承辦人</t>
    <phoneticPr fontId="1" type="noConversion"/>
  </si>
  <si>
    <t>承辦人                         承辦主任                                主計主任                                校長</t>
    <phoneticPr fontId="1" type="noConversion"/>
  </si>
  <si>
    <t>因本校為完全中學，高中部剛成立第二年，教室內都沒有電腦，但教師授課使用電腦頻率很高，目前因新建校舍尚未完工，故沒有多餘空間可以擺桌上型電腦，採用6大領域各配1台筆電以供授課及教師社群使用。</t>
    <phoneticPr fontId="1" type="noConversion"/>
  </si>
  <si>
    <t>本校空間雖不足，但奉局指示將設立生活科技教室，因應高中科技及藝術領域實作課程及國中生活領域之機電整合課程，購置雷射切割機，除了藝能領域課程用途外，也可用於各學科創客活動使用。</t>
    <phoneticPr fontId="1" type="noConversion"/>
  </si>
  <si>
    <t>B-1健康身心靈社群研習*20節(探索與體驗課程、趣味品生活、旅遊規劃、陶藝課程、攝影課程、味覺挑動、甜點製作、身心靈保健、HIT新高好客人、舞動人生、心靈饗宴等)</t>
  </si>
  <si>
    <t>B-1健康身心靈社群研習*24節，科技新人文社群*4節，國際大視野社群研習*4節)</t>
  </si>
  <si>
    <t>B-1健康身心靈社群研習*20節</t>
  </si>
  <si>
    <t>B-1健康身心靈社群研習*4節，科技新人文社群研習*4節，國際大視野社群研習*4節</t>
  </si>
  <si>
    <t>B-1健康身心靈社群研習*20節，</t>
  </si>
  <si>
    <t>B-1 社群研習講義60份*30元</t>
  </si>
  <si>
    <t>B-1 社群研習講師交通費</t>
  </si>
  <si>
    <t>B-2 社群研習100人次*80元</t>
  </si>
  <si>
    <t>B-1健康身心靈探索體驗研習*2台</t>
  </si>
  <si>
    <t>B-1 研習材料費185人次*200元</t>
  </si>
  <si>
    <t>B-1健康身心靈探索體驗研習</t>
  </si>
  <si>
    <t>B-1 教師社群研習文具紙張耗材等</t>
  </si>
  <si>
    <t>人</t>
    <phoneticPr fontId="1" type="noConversion"/>
  </si>
  <si>
    <t>人</t>
    <phoneticPr fontId="1" type="noConversion"/>
  </si>
  <si>
    <t>人</t>
    <phoneticPr fontId="1" type="noConversion"/>
  </si>
  <si>
    <t>人</t>
    <phoneticPr fontId="1" type="noConversion"/>
  </si>
  <si>
    <t>本校新設高中，教室內都沒有桌上型電腦，惟新校舍尚在建置中，沒有足夠空間放置桌上型電腦，故採購筆電供執行高優計畫之相關教師借用。</t>
    <phoneticPr fontId="1" type="noConversion"/>
  </si>
  <si>
    <t>記錄高優相關課程及活動使用。</t>
    <phoneticPr fontId="1" type="noConversion"/>
  </si>
  <si>
    <t>承辦人:                    承辦主任:                      主計主任:                    校長:</t>
    <phoneticPr fontId="1" type="noConversion"/>
  </si>
  <si>
    <t>承辦人:                   承辦主任:                   主計主任:                     校長:</t>
    <phoneticPr fontId="1" type="noConversion"/>
  </si>
  <si>
    <t>A-1：校定必修、探究與實作及多元選修雜支(電池、文具、紙張、耗材、手寫板...等)</t>
    <phoneticPr fontId="1" type="noConversion"/>
  </si>
  <si>
    <t>承辦人:                             承辦主任:                          主計主任:                            校長:</t>
    <phoneticPr fontId="1" type="noConversion"/>
  </si>
  <si>
    <t>承辦人:                     承辦主任:                            主計主任:                            校長:</t>
    <phoneticPr fontId="1" type="noConversion"/>
  </si>
  <si>
    <t>承辦人:                    承辦主任:                       主計主任:                      校長:</t>
    <phoneticPr fontId="1" type="noConversion"/>
  </si>
  <si>
    <t xml:space="preserve">B-2 探究與實作相關素材讀本
</t>
    <phoneticPr fontId="1" type="noConversion"/>
  </si>
  <si>
    <t>承辦人:                    承辦主任:                    主計主任:                      校長:</t>
    <phoneticPr fontId="1" type="noConversion"/>
  </si>
  <si>
    <t>A-1：東南亞書店場地費</t>
    <phoneticPr fontId="1" type="noConversion"/>
  </si>
  <si>
    <t>A-1：二代健保</t>
    <phoneticPr fontId="1" type="noConversion"/>
  </si>
  <si>
    <t>A-1：二代健保</t>
    <phoneticPr fontId="1" type="noConversion"/>
  </si>
  <si>
    <t>全民健康保險補充保費</t>
    <phoneticPr fontId="1" type="noConversion"/>
  </si>
  <si>
    <t>實驗室用，主機含螢幕、鍵盤、滑鼠</t>
    <phoneticPr fontId="1" type="noConversion"/>
  </si>
  <si>
    <t>C-1課發會及增能研習*4節</t>
    <phoneticPr fontId="1" type="noConversion"/>
  </si>
  <si>
    <t>C-3校際交流餐費40人次</t>
    <phoneticPr fontId="1" type="noConversion"/>
  </si>
  <si>
    <t>C-3校際交流1輛車</t>
    <phoneticPr fontId="1" type="noConversion"/>
  </si>
  <si>
    <t>C-3校際交流餐費40人次</t>
    <phoneticPr fontId="1" type="noConversion"/>
  </si>
  <si>
    <t>C-3校際交流1輛車</t>
    <phoneticPr fontId="1" type="noConversion"/>
  </si>
  <si>
    <t>D-1二代健保</t>
    <phoneticPr fontId="1" type="noConversion"/>
  </si>
  <si>
    <t>C-3校際交流所需文具耗材紙張等</t>
    <phoneticPr fontId="1" type="noConversion"/>
  </si>
  <si>
    <t>D-1：mBot課程及生活領域相關紙張文具耗材</t>
    <phoneticPr fontId="1" type="noConversion"/>
  </si>
  <si>
    <t>承辦人:                   承辦主任:                  主計主任:                       校長: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</si>
</sst>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76" formatCode="#,##0.0_);[Red]\(#,##0.0\)"/>
    <numFmt numFmtId="177" formatCode="0.000"/>
    <numFmt numFmtId="178" formatCode="#,##0.000_);[Red]\(#,##0.000\)"/>
    <numFmt numFmtId="179" formatCode="0.000%"/>
    <numFmt numFmtId="180" formatCode="0.000_);[Red]\(0.000\)"/>
    <numFmt numFmtId="181" formatCode="_-* #,##0_-;\-* #,##0_-;_-* &quot;-&quot;??_-;_-@_-"/>
    <numFmt numFmtId="182" formatCode="#,##0.00_);[Red]\(#,##0.00\)"/>
    <numFmt numFmtId="183" formatCode="#,##0_);[Red]\(#,##0\)"/>
  </numFmts>
  <fonts count="8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color indexed="8"/>
      <name val="Apple LiGothic Medium"/>
      <family val="2"/>
    </font>
    <font>
      <sz val="12"/>
      <color indexed="8"/>
      <name val="Apple LiGothic Medium"/>
      <family val="2"/>
    </font>
    <font>
      <sz val="12"/>
      <color indexed="10"/>
      <name val="細明體"/>
      <family val="3"/>
      <charset val="136"/>
    </font>
    <font>
      <sz val="12"/>
      <name val="細明體"/>
      <family val="3"/>
      <charset val="136"/>
    </font>
    <font>
      <sz val="12"/>
      <name val="Apple LiGothic Medium"/>
      <family val="2"/>
    </font>
    <font>
      <sz val="11"/>
      <name val="Apple LiGothic Medium"/>
      <family val="2"/>
    </font>
    <font>
      <sz val="11"/>
      <name val="細明體"/>
      <family val="3"/>
      <charset val="136"/>
    </font>
    <font>
      <sz val="10"/>
      <name val="細明體"/>
      <family val="3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16"/>
      <name val="新細明體"/>
      <family val="1"/>
      <charset val="136"/>
    </font>
    <font>
      <b/>
      <sz val="16"/>
      <name val="細明體"/>
      <family val="3"/>
      <charset val="136"/>
    </font>
    <font>
      <b/>
      <sz val="16"/>
      <name val="Apple LiGothic Medium"/>
      <family val="2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b/>
      <sz val="12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Apple LiGothic Medium"/>
      <family val="2"/>
    </font>
    <font>
      <sz val="11"/>
      <color indexed="10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12"/>
      <name val="Apple LiGothic Medium"/>
      <family val="2"/>
    </font>
    <font>
      <b/>
      <sz val="12"/>
      <name val="細明體"/>
      <family val="3"/>
      <charset val="136"/>
    </font>
    <font>
      <b/>
      <sz val="12"/>
      <name val="新細明體"/>
      <family val="1"/>
      <charset val="136"/>
    </font>
    <font>
      <sz val="1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FF0000"/>
      <name val="新細明體"/>
      <family val="1"/>
      <charset val="136"/>
    </font>
    <font>
      <b/>
      <sz val="16"/>
      <color rgb="FFFF0000"/>
      <name val="細明體-ExtB"/>
      <family val="1"/>
      <charset val="136"/>
    </font>
    <font>
      <b/>
      <sz val="12"/>
      <color rgb="FFFF0000"/>
      <name val="微軟正黑體"/>
      <family val="2"/>
      <charset val="136"/>
    </font>
    <font>
      <sz val="12"/>
      <color rgb="FFFF0000"/>
      <name val="標楷體"/>
      <family val="4"/>
      <charset val="136"/>
    </font>
    <font>
      <sz val="11"/>
      <color rgb="FFFF0000"/>
      <name val="新細明體"/>
      <family val="1"/>
      <charset val="136"/>
    </font>
    <font>
      <sz val="11"/>
      <color rgb="FFFF0000"/>
      <name val="細明體"/>
      <family val="3"/>
      <charset val="136"/>
    </font>
    <font>
      <b/>
      <sz val="16"/>
      <color rgb="FFFF0000"/>
      <name val="細明體"/>
      <family val="3"/>
      <charset val="136"/>
    </font>
    <font>
      <sz val="11"/>
      <color rgb="FFFF0000"/>
      <name val="標楷體"/>
      <family val="4"/>
      <charset val="136"/>
    </font>
    <font>
      <b/>
      <sz val="12"/>
      <color rgb="FFFF0000"/>
      <name val="新細明體"/>
      <family val="1"/>
      <charset val="136"/>
    </font>
    <font>
      <sz val="11"/>
      <color rgb="FFFF0000"/>
      <name val="微軟正黑體"/>
      <family val="2"/>
      <charset val="136"/>
    </font>
    <font>
      <sz val="10"/>
      <color rgb="FFFF0000"/>
      <name val="新細明體"/>
      <family val="1"/>
      <charset val="136"/>
    </font>
    <font>
      <sz val="10"/>
      <name val="新細明體"/>
      <family val="1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9"/>
      <color indexed="81"/>
      <name val="細明體"/>
      <family val="3"/>
      <charset val="136"/>
    </font>
    <font>
      <sz val="12"/>
      <name val="Times New Roman"/>
      <family val="1"/>
    </font>
    <font>
      <sz val="9"/>
      <name val="新細明體"/>
      <family val="3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indexed="8"/>
      <name val="標楷體"/>
      <family val="4"/>
      <charset val="136"/>
    </font>
    <font>
      <sz val="16"/>
      <name val="標楷體"/>
      <family val="4"/>
      <charset val="136"/>
    </font>
    <font>
      <sz val="16"/>
      <color rgb="FFFF0000"/>
      <name val="標楷體"/>
      <family val="4"/>
      <charset val="136"/>
    </font>
    <font>
      <b/>
      <sz val="22"/>
      <color indexed="10"/>
      <name val="細明體"/>
      <family val="3"/>
      <charset val="136"/>
    </font>
    <font>
      <sz val="22"/>
      <name val="新細明體"/>
      <family val="1"/>
      <charset val="136"/>
    </font>
    <font>
      <sz val="20"/>
      <name val="標楷體"/>
      <family val="4"/>
      <charset val="136"/>
    </font>
    <font>
      <sz val="16"/>
      <color rgb="FFFF0000"/>
      <name val="新細明體"/>
      <family val="1"/>
      <charset val="136"/>
    </font>
    <font>
      <sz val="16"/>
      <color indexed="10"/>
      <name val="標楷體"/>
      <family val="4"/>
      <charset val="136"/>
    </font>
    <font>
      <b/>
      <sz val="20"/>
      <color indexed="8"/>
      <name val="標楷體"/>
      <family val="4"/>
      <charset val="136"/>
    </font>
    <font>
      <sz val="20"/>
      <color rgb="FFFF0000"/>
      <name val="標楷體"/>
      <family val="4"/>
      <charset val="136"/>
    </font>
    <font>
      <sz val="22"/>
      <name val="標楷體"/>
      <family val="4"/>
      <charset val="136"/>
    </font>
    <font>
      <sz val="22"/>
      <color indexed="8"/>
      <name val="標楷體"/>
      <family val="4"/>
      <charset val="136"/>
    </font>
    <font>
      <b/>
      <sz val="22"/>
      <name val="標楷體"/>
      <family val="4"/>
      <charset val="136"/>
    </font>
    <font>
      <b/>
      <sz val="22"/>
      <color indexed="8"/>
      <name val="標楷體"/>
      <family val="4"/>
      <charset val="136"/>
    </font>
    <font>
      <b/>
      <sz val="22"/>
      <color rgb="FFFF0000"/>
      <name val="標楷體"/>
      <family val="4"/>
      <charset val="136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sz val="14"/>
      <color rgb="FFFF0000"/>
      <name val="標楷體"/>
      <family val="4"/>
      <charset val="136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gray0625">
        <bgColor theme="9" tint="0.5999938962981048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0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medium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medium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17" borderId="2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18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2" applyNumberFormat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</cellStyleXfs>
  <cellXfs count="404">
    <xf numFmtId="0" fontId="0" fillId="0" borderId="0" xfId="0"/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38" fontId="0" fillId="0" borderId="0" xfId="0" applyNumberFormat="1" applyAlignment="1">
      <alignment vertical="center"/>
    </xf>
    <xf numFmtId="38" fontId="5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0" fontId="34" fillId="0" borderId="0" xfId="0" applyFont="1"/>
    <xf numFmtId="0" fontId="34" fillId="0" borderId="10" xfId="0" applyFont="1" applyBorder="1" applyAlignment="1">
      <alignment horizontal="center"/>
    </xf>
    <xf numFmtId="0" fontId="34" fillId="0" borderId="11" xfId="0" applyFont="1" applyBorder="1" applyAlignment="1">
      <alignment horizontal="center"/>
    </xf>
    <xf numFmtId="0" fontId="34" fillId="0" borderId="12" xfId="0" applyFont="1" applyBorder="1" applyAlignment="1">
      <alignment horizontal="center"/>
    </xf>
    <xf numFmtId="0" fontId="42" fillId="0" borderId="0" xfId="0" applyFont="1"/>
    <xf numFmtId="0" fontId="43" fillId="0" borderId="0" xfId="0" applyFont="1"/>
    <xf numFmtId="0" fontId="44" fillId="0" borderId="0" xfId="0" applyFont="1"/>
    <xf numFmtId="0" fontId="34" fillId="0" borderId="10" xfId="0" applyFont="1" applyBorder="1"/>
    <xf numFmtId="0" fontId="45" fillId="0" borderId="11" xfId="0" applyFont="1" applyBorder="1" applyAlignment="1">
      <alignment horizontal="center"/>
    </xf>
    <xf numFmtId="0" fontId="45" fillId="0" borderId="12" xfId="0" applyFont="1" applyBorder="1" applyAlignment="1">
      <alignment horizontal="center"/>
    </xf>
    <xf numFmtId="0" fontId="34" fillId="0" borderId="13" xfId="0" applyFont="1" applyBorder="1"/>
    <xf numFmtId="38" fontId="0" fillId="0" borderId="0" xfId="0" applyNumberFormat="1"/>
    <xf numFmtId="0" fontId="46" fillId="0" borderId="0" xfId="0" applyFont="1"/>
    <xf numFmtId="0" fontId="32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32" fillId="0" borderId="14" xfId="0" applyFont="1" applyBorder="1" applyAlignment="1">
      <alignment vertical="center"/>
    </xf>
    <xf numFmtId="0" fontId="31" fillId="0" borderId="0" xfId="0" applyFont="1"/>
    <xf numFmtId="38" fontId="0" fillId="0" borderId="22" xfId="0" applyNumberFormat="1" applyBorder="1"/>
    <xf numFmtId="38" fontId="5" fillId="0" borderId="24" xfId="0" applyNumberFormat="1" applyFont="1" applyBorder="1" applyAlignment="1">
      <alignment horizontal="center" vertical="center" wrapText="1"/>
    </xf>
    <xf numFmtId="38" fontId="6" fillId="0" borderId="25" xfId="0" applyNumberFormat="1" applyFont="1" applyBorder="1" applyAlignment="1">
      <alignment horizontal="center" vertical="center" wrapText="1"/>
    </xf>
    <xf numFmtId="38" fontId="6" fillId="0" borderId="24" xfId="0" applyNumberFormat="1" applyFont="1" applyBorder="1" applyAlignment="1">
      <alignment horizontal="center" vertical="center" wrapText="1"/>
    </xf>
    <xf numFmtId="38" fontId="6" fillId="25" borderId="24" xfId="0" applyNumberFormat="1" applyFont="1" applyFill="1" applyBorder="1" applyAlignment="1">
      <alignment horizontal="center" vertical="center" wrapText="1"/>
    </xf>
    <xf numFmtId="38" fontId="5" fillId="25" borderId="26" xfId="0" applyNumberFormat="1" applyFont="1" applyFill="1" applyBorder="1" applyAlignment="1">
      <alignment horizontal="center" vertical="center" wrapText="1"/>
    </xf>
    <xf numFmtId="38" fontId="5" fillId="25" borderId="25" xfId="0" applyNumberFormat="1" applyFont="1" applyFill="1" applyBorder="1" applyAlignment="1">
      <alignment horizontal="center" vertical="center" wrapText="1"/>
    </xf>
    <xf numFmtId="0" fontId="47" fillId="0" borderId="0" xfId="0" applyFont="1" applyAlignment="1">
      <alignment vertical="center"/>
    </xf>
    <xf numFmtId="176" fontId="47" fillId="0" borderId="0" xfId="0" applyNumberFormat="1" applyFont="1" applyAlignment="1">
      <alignment vertical="center"/>
    </xf>
    <xf numFmtId="38" fontId="47" fillId="0" borderId="0" xfId="0" applyNumberFormat="1" applyFont="1" applyAlignment="1">
      <alignment vertical="center"/>
    </xf>
    <xf numFmtId="38" fontId="47" fillId="0" borderId="0" xfId="0" applyNumberFormat="1" applyFont="1"/>
    <xf numFmtId="0" fontId="47" fillId="0" borderId="0" xfId="0" applyFont="1"/>
    <xf numFmtId="178" fontId="6" fillId="0" borderId="31" xfId="0" applyNumberFormat="1" applyFont="1" applyBorder="1" applyAlignment="1">
      <alignment horizontal="right" vertical="center" wrapText="1"/>
    </xf>
    <xf numFmtId="178" fontId="6" fillId="0" borderId="32" xfId="0" applyNumberFormat="1" applyFont="1" applyBorder="1" applyAlignment="1">
      <alignment horizontal="right" vertical="center" wrapText="1"/>
    </xf>
    <xf numFmtId="178" fontId="6" fillId="0" borderId="33" xfId="0" applyNumberFormat="1" applyFont="1" applyBorder="1" applyAlignment="1">
      <alignment horizontal="right" vertical="center" wrapText="1"/>
    </xf>
    <xf numFmtId="178" fontId="6" fillId="25" borderId="33" xfId="0" applyNumberFormat="1" applyFont="1" applyFill="1" applyBorder="1" applyAlignment="1">
      <alignment horizontal="right" vertical="center" wrapText="1"/>
    </xf>
    <xf numFmtId="178" fontId="6" fillId="25" borderId="34" xfId="0" applyNumberFormat="1" applyFont="1" applyFill="1" applyBorder="1" applyAlignment="1">
      <alignment horizontal="right" vertical="center" wrapText="1"/>
    </xf>
    <xf numFmtId="178" fontId="6" fillId="25" borderId="32" xfId="0" applyNumberFormat="1" applyFont="1" applyFill="1" applyBorder="1" applyAlignment="1">
      <alignment horizontal="right" vertical="center" wrapText="1"/>
    </xf>
    <xf numFmtId="178" fontId="6" fillId="0" borderId="35" xfId="0" applyNumberFormat="1" applyFont="1" applyBorder="1" applyAlignment="1">
      <alignment horizontal="right" vertical="center" wrapText="1"/>
    </xf>
    <xf numFmtId="178" fontId="6" fillId="25" borderId="36" xfId="0" applyNumberFormat="1" applyFont="1" applyFill="1" applyBorder="1" applyAlignment="1">
      <alignment horizontal="right" vertical="center" wrapText="1"/>
    </xf>
    <xf numFmtId="178" fontId="6" fillId="25" borderId="14" xfId="0" applyNumberFormat="1" applyFont="1" applyFill="1" applyBorder="1" applyAlignment="1">
      <alignment horizontal="right" vertical="center" wrapText="1"/>
    </xf>
    <xf numFmtId="178" fontId="6" fillId="25" borderId="16" xfId="0" applyNumberFormat="1" applyFont="1" applyFill="1" applyBorder="1" applyAlignment="1">
      <alignment horizontal="right" vertical="center" wrapText="1"/>
    </xf>
    <xf numFmtId="178" fontId="32" fillId="0" borderId="14" xfId="0" applyNumberFormat="1" applyFont="1" applyBorder="1" applyAlignment="1">
      <alignment horizontal="right" vertical="center" wrapText="1"/>
    </xf>
    <xf numFmtId="178" fontId="32" fillId="0" borderId="14" xfId="0" applyNumberFormat="1" applyFont="1" applyBorder="1" applyAlignment="1">
      <alignment horizontal="right" vertical="center"/>
    </xf>
    <xf numFmtId="178" fontId="38" fillId="24" borderId="51" xfId="0" applyNumberFormat="1" applyFont="1" applyFill="1" applyBorder="1" applyAlignment="1">
      <alignment horizontal="right" vertical="center" wrapText="1"/>
    </xf>
    <xf numFmtId="178" fontId="38" fillId="24" borderId="18" xfId="0" applyNumberFormat="1" applyFont="1" applyFill="1" applyBorder="1" applyAlignment="1">
      <alignment horizontal="right" vertical="center" wrapText="1"/>
    </xf>
    <xf numFmtId="178" fontId="38" fillId="24" borderId="52" xfId="0" applyNumberFormat="1" applyFont="1" applyFill="1" applyBorder="1" applyAlignment="1">
      <alignment horizontal="right" vertical="center" wrapText="1"/>
    </xf>
    <xf numFmtId="178" fontId="38" fillId="24" borderId="19" xfId="0" applyNumberFormat="1" applyFont="1" applyFill="1" applyBorder="1" applyAlignment="1">
      <alignment horizontal="right" vertical="center" wrapText="1"/>
    </xf>
    <xf numFmtId="178" fontId="38" fillId="24" borderId="53" xfId="0" applyNumberFormat="1" applyFont="1" applyFill="1" applyBorder="1" applyAlignment="1">
      <alignment horizontal="right" vertical="center" wrapText="1"/>
    </xf>
    <xf numFmtId="178" fontId="33" fillId="26" borderId="51" xfId="0" applyNumberFormat="1" applyFont="1" applyFill="1" applyBorder="1" applyAlignment="1">
      <alignment vertical="center"/>
    </xf>
    <xf numFmtId="178" fontId="33" fillId="26" borderId="18" xfId="0" applyNumberFormat="1" applyFont="1" applyFill="1" applyBorder="1" applyAlignment="1">
      <alignment vertical="center"/>
    </xf>
    <xf numFmtId="178" fontId="33" fillId="26" borderId="52" xfId="0" applyNumberFormat="1" applyFont="1" applyFill="1" applyBorder="1" applyAlignment="1">
      <alignment vertical="center"/>
    </xf>
    <xf numFmtId="178" fontId="33" fillId="26" borderId="53" xfId="0" applyNumberFormat="1" applyFont="1" applyFill="1" applyBorder="1" applyAlignment="1">
      <alignment vertical="center"/>
    </xf>
    <xf numFmtId="178" fontId="33" fillId="26" borderId="19" xfId="0" applyNumberFormat="1" applyFont="1" applyFill="1" applyBorder="1" applyAlignment="1">
      <alignment vertical="center"/>
    </xf>
    <xf numFmtId="0" fontId="41" fillId="0" borderId="0" xfId="0" applyFont="1"/>
    <xf numFmtId="177" fontId="45" fillId="27" borderId="11" xfId="0" applyNumberFormat="1" applyFont="1" applyFill="1" applyBorder="1" applyAlignment="1">
      <alignment horizontal="center" vertical="center"/>
    </xf>
    <xf numFmtId="177" fontId="45" fillId="27" borderId="54" xfId="0" applyNumberFormat="1" applyFont="1" applyFill="1" applyBorder="1" applyAlignment="1">
      <alignment horizontal="center" vertical="center"/>
    </xf>
    <xf numFmtId="179" fontId="34" fillId="27" borderId="12" xfId="0" applyNumberFormat="1" applyFont="1" applyFill="1" applyBorder="1" applyAlignment="1">
      <alignment horizontal="center" vertical="center"/>
    </xf>
    <xf numFmtId="179" fontId="34" fillId="27" borderId="55" xfId="0" applyNumberFormat="1" applyFont="1" applyFill="1" applyBorder="1" applyAlignment="1">
      <alignment horizontal="center" vertical="center"/>
    </xf>
    <xf numFmtId="180" fontId="34" fillId="0" borderId="11" xfId="0" applyNumberFormat="1" applyFont="1" applyBorder="1" applyAlignment="1">
      <alignment horizontal="center" vertical="center"/>
    </xf>
    <xf numFmtId="179" fontId="34" fillId="27" borderId="10" xfId="22" applyNumberFormat="1" applyFont="1" applyFill="1" applyBorder="1" applyAlignment="1">
      <alignment horizontal="center" vertical="center"/>
    </xf>
    <xf numFmtId="179" fontId="34" fillId="27" borderId="13" xfId="22" applyNumberFormat="1" applyFont="1" applyFill="1" applyBorder="1" applyAlignment="1">
      <alignment horizontal="center" vertical="center"/>
    </xf>
    <xf numFmtId="179" fontId="45" fillId="27" borderId="12" xfId="22" applyNumberFormat="1" applyFont="1" applyFill="1" applyBorder="1" applyAlignment="1">
      <alignment horizontal="center" vertical="center"/>
    </xf>
    <xf numFmtId="179" fontId="45" fillId="27" borderId="55" xfId="22" applyNumberFormat="1" applyFont="1" applyFill="1" applyBorder="1" applyAlignment="1">
      <alignment horizontal="center" vertical="center"/>
    </xf>
    <xf numFmtId="179" fontId="40" fillId="26" borderId="56" xfId="22" applyNumberFormat="1" applyFont="1" applyFill="1" applyBorder="1">
      <alignment vertical="center"/>
    </xf>
    <xf numFmtId="179" fontId="40" fillId="26" borderId="37" xfId="22" applyNumberFormat="1" applyFont="1" applyFill="1" applyBorder="1">
      <alignment vertical="center"/>
    </xf>
    <xf numFmtId="0" fontId="3" fillId="0" borderId="6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78" fontId="33" fillId="26" borderId="64" xfId="0" applyNumberFormat="1" applyFont="1" applyFill="1" applyBorder="1" applyAlignment="1">
      <alignment vertical="center"/>
    </xf>
    <xf numFmtId="178" fontId="32" fillId="27" borderId="34" xfId="0" applyNumberFormat="1" applyFont="1" applyFill="1" applyBorder="1" applyAlignment="1">
      <alignment horizontal="right" vertical="center" wrapText="1"/>
    </xf>
    <xf numFmtId="0" fontId="32" fillId="0" borderId="34" xfId="0" applyFont="1" applyBorder="1" applyAlignment="1">
      <alignment horizontal="center" vertical="center" wrapText="1"/>
    </xf>
    <xf numFmtId="0" fontId="32" fillId="0" borderId="34" xfId="0" applyFont="1" applyBorder="1" applyAlignment="1">
      <alignment vertical="center"/>
    </xf>
    <xf numFmtId="0" fontId="0" fillId="0" borderId="0" xfId="0" applyAlignment="1">
      <alignment horizontal="center"/>
    </xf>
    <xf numFmtId="0" fontId="32" fillId="0" borderId="34" xfId="0" applyFont="1" applyBorder="1" applyAlignment="1">
      <alignment vertical="center" wrapText="1"/>
    </xf>
    <xf numFmtId="0" fontId="32" fillId="0" borderId="14" xfId="0" applyFont="1" applyBorder="1" applyAlignment="1">
      <alignment horizontal="justify" vertical="center" wrapText="1"/>
    </xf>
    <xf numFmtId="178" fontId="32" fillId="0" borderId="14" xfId="0" applyNumberFormat="1" applyFont="1" applyBorder="1" applyAlignment="1">
      <alignment horizontal="justify" vertical="center" wrapText="1"/>
    </xf>
    <xf numFmtId="0" fontId="32" fillId="0" borderId="14" xfId="0" applyFont="1" applyBorder="1" applyAlignment="1">
      <alignment vertical="center" wrapText="1"/>
    </xf>
    <xf numFmtId="38" fontId="5" fillId="0" borderId="0" xfId="0" applyNumberFormat="1" applyFont="1" applyAlignment="1">
      <alignment horizontal="center" vertical="center"/>
    </xf>
    <xf numFmtId="0" fontId="53" fillId="0" borderId="0" xfId="0" applyFont="1" applyAlignment="1">
      <alignment vertical="center"/>
    </xf>
    <xf numFmtId="0" fontId="54" fillId="0" borderId="0" xfId="0" applyFont="1"/>
    <xf numFmtId="176" fontId="54" fillId="0" borderId="0" xfId="0" applyNumberFormat="1" applyFont="1" applyAlignment="1">
      <alignment vertical="center"/>
    </xf>
    <xf numFmtId="0" fontId="54" fillId="0" borderId="0" xfId="0" applyFont="1" applyAlignment="1">
      <alignment vertical="center"/>
    </xf>
    <xf numFmtId="0" fontId="53" fillId="0" borderId="0" xfId="0" applyFont="1"/>
    <xf numFmtId="0" fontId="32" fillId="0" borderId="88" xfId="0" applyFont="1" applyBorder="1" applyAlignment="1">
      <alignment vertical="center"/>
    </xf>
    <xf numFmtId="0" fontId="32" fillId="0" borderId="60" xfId="0" applyFont="1" applyBorder="1" applyAlignment="1">
      <alignment vertical="center" wrapText="1"/>
    </xf>
    <xf numFmtId="0" fontId="32" fillId="0" borderId="10" xfId="0" applyFont="1" applyBorder="1" applyAlignment="1">
      <alignment vertical="center" wrapText="1"/>
    </xf>
    <xf numFmtId="0" fontId="32" fillId="0" borderId="100" xfId="0" applyFont="1" applyBorder="1" applyAlignment="1">
      <alignment vertical="center" wrapText="1"/>
    </xf>
    <xf numFmtId="0" fontId="32" fillId="0" borderId="13" xfId="0" applyFont="1" applyBorder="1" applyAlignment="1">
      <alignment vertical="center" wrapText="1"/>
    </xf>
    <xf numFmtId="0" fontId="0" fillId="0" borderId="14" xfId="0" applyBorder="1"/>
    <xf numFmtId="0" fontId="32" fillId="0" borderId="101" xfId="0" applyFont="1" applyBorder="1" applyAlignment="1">
      <alignment horizontal="center" vertical="center"/>
    </xf>
    <xf numFmtId="0" fontId="32" fillId="0" borderId="101" xfId="0" applyFont="1" applyBorder="1" applyAlignment="1">
      <alignment horizontal="center" vertical="center" wrapText="1"/>
    </xf>
    <xf numFmtId="38" fontId="32" fillId="0" borderId="101" xfId="0" applyNumberFormat="1" applyFont="1" applyBorder="1" applyAlignment="1">
      <alignment horizontal="center" vertical="center" wrapText="1"/>
    </xf>
    <xf numFmtId="0" fontId="32" fillId="0" borderId="102" xfId="0" applyFont="1" applyBorder="1" applyAlignment="1">
      <alignment horizontal="center" vertical="center" wrapText="1"/>
    </xf>
    <xf numFmtId="0" fontId="0" fillId="0" borderId="34" xfId="0" applyBorder="1"/>
    <xf numFmtId="0" fontId="32" fillId="0" borderId="34" xfId="0" applyFont="1" applyBorder="1" applyAlignment="1">
      <alignment horizontal="center" wrapText="1"/>
    </xf>
    <xf numFmtId="0" fontId="0" fillId="0" borderId="103" xfId="0" applyBorder="1"/>
    <xf numFmtId="0" fontId="32" fillId="0" borderId="104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0" fillId="0" borderId="14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0" fillId="29" borderId="14" xfId="0" applyFill="1" applyBorder="1"/>
    <xf numFmtId="0" fontId="0" fillId="30" borderId="14" xfId="0" applyFill="1" applyBorder="1"/>
    <xf numFmtId="0" fontId="0" fillId="30" borderId="14" xfId="0" applyFill="1" applyBorder="1" applyAlignment="1">
      <alignment wrapText="1"/>
    </xf>
    <xf numFmtId="0" fontId="0" fillId="32" borderId="14" xfId="0" applyFill="1" applyBorder="1"/>
    <xf numFmtId="0" fontId="0" fillId="0" borderId="14" xfId="0" applyBorder="1" applyAlignment="1">
      <alignment vertical="center"/>
    </xf>
    <xf numFmtId="0" fontId="0" fillId="31" borderId="14" xfId="0" applyFill="1" applyBorder="1" applyAlignment="1">
      <alignment vertical="center"/>
    </xf>
    <xf numFmtId="0" fontId="40" fillId="0" borderId="14" xfId="0" applyFont="1" applyBorder="1" applyAlignment="1">
      <alignment horizontal="center" vertical="center"/>
    </xf>
    <xf numFmtId="181" fontId="40" fillId="0" borderId="14" xfId="43" applyNumberFormat="1" applyFont="1" applyBorder="1" applyAlignment="1">
      <alignment horizontal="center" vertical="center"/>
    </xf>
    <xf numFmtId="0" fontId="0" fillId="30" borderId="14" xfId="0" applyFill="1" applyBorder="1" applyAlignment="1">
      <alignment horizontal="center" vertical="center"/>
    </xf>
    <xf numFmtId="0" fontId="0" fillId="30" borderId="14" xfId="0" applyFill="1" applyBorder="1" applyAlignment="1">
      <alignment vertical="center"/>
    </xf>
    <xf numFmtId="181" fontId="0" fillId="30" borderId="14" xfId="43" applyNumberFormat="1" applyFont="1" applyFill="1" applyBorder="1">
      <alignment vertical="center"/>
    </xf>
    <xf numFmtId="0" fontId="0" fillId="29" borderId="14" xfId="0" applyFill="1" applyBorder="1" applyAlignment="1">
      <alignment horizontal="center" vertical="center"/>
    </xf>
    <xf numFmtId="0" fontId="0" fillId="29" borderId="14" xfId="0" applyFill="1" applyBorder="1" applyAlignment="1">
      <alignment vertical="center"/>
    </xf>
    <xf numFmtId="181" fontId="0" fillId="29" borderId="14" xfId="43" applyNumberFormat="1" applyFont="1" applyFill="1" applyBorder="1">
      <alignment vertical="center"/>
    </xf>
    <xf numFmtId="0" fontId="0" fillId="32" borderId="14" xfId="0" applyFill="1" applyBorder="1" applyAlignment="1">
      <alignment horizontal="center" vertical="center"/>
    </xf>
    <xf numFmtId="0" fontId="0" fillId="32" borderId="14" xfId="0" applyFill="1" applyBorder="1" applyAlignment="1">
      <alignment vertical="center"/>
    </xf>
    <xf numFmtId="181" fontId="0" fillId="32" borderId="14" xfId="43" applyNumberFormat="1" applyFont="1" applyFill="1" applyBorder="1">
      <alignment vertical="center"/>
    </xf>
    <xf numFmtId="181" fontId="0" fillId="0" borderId="0" xfId="43" applyNumberFormat="1" applyFont="1">
      <alignment vertical="center"/>
    </xf>
    <xf numFmtId="0" fontId="0" fillId="33" borderId="14" xfId="0" applyFill="1" applyBorder="1" applyAlignment="1">
      <alignment horizontal="center" vertical="center"/>
    </xf>
    <xf numFmtId="0" fontId="0" fillId="33" borderId="14" xfId="0" applyFill="1" applyBorder="1" applyAlignment="1">
      <alignment vertical="center"/>
    </xf>
    <xf numFmtId="0" fontId="0" fillId="33" borderId="14" xfId="0" applyFill="1" applyBorder="1" applyAlignment="1">
      <alignment wrapText="1"/>
    </xf>
    <xf numFmtId="0" fontId="0" fillId="31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81" fontId="0" fillId="0" borderId="14" xfId="43" applyNumberFormat="1" applyFont="1" applyBorder="1">
      <alignment vertical="center"/>
    </xf>
    <xf numFmtId="0" fontId="0" fillId="28" borderId="14" xfId="0" applyFill="1" applyBorder="1" applyAlignment="1">
      <alignment vertical="center"/>
    </xf>
    <xf numFmtId="0" fontId="0" fillId="28" borderId="14" xfId="0" applyFill="1" applyBorder="1" applyAlignment="1">
      <alignment horizontal="center" vertical="center"/>
    </xf>
    <xf numFmtId="0" fontId="0" fillId="34" borderId="14" xfId="0" applyFill="1" applyBorder="1" applyAlignment="1">
      <alignment horizontal="center" vertical="center"/>
    </xf>
    <xf numFmtId="0" fontId="0" fillId="34" borderId="14" xfId="0" applyFill="1" applyBorder="1" applyAlignment="1">
      <alignment vertical="center"/>
    </xf>
    <xf numFmtId="181" fontId="0" fillId="34" borderId="14" xfId="43" applyNumberFormat="1" applyFont="1" applyFill="1" applyBorder="1">
      <alignment vertical="center"/>
    </xf>
    <xf numFmtId="0" fontId="0" fillId="34" borderId="14" xfId="0" applyFill="1" applyBorder="1"/>
    <xf numFmtId="0" fontId="0" fillId="35" borderId="14" xfId="0" applyFill="1" applyBorder="1" applyAlignment="1">
      <alignment horizontal="center" vertical="center"/>
    </xf>
    <xf numFmtId="0" fontId="0" fillId="35" borderId="14" xfId="0" applyFill="1" applyBorder="1" applyAlignment="1">
      <alignment vertical="center"/>
    </xf>
    <xf numFmtId="181" fontId="0" fillId="35" borderId="14" xfId="43" applyNumberFormat="1" applyFont="1" applyFill="1" applyBorder="1">
      <alignment vertical="center"/>
    </xf>
    <xf numFmtId="0" fontId="0" fillId="35" borderId="14" xfId="0" applyFill="1" applyBorder="1"/>
    <xf numFmtId="0" fontId="0" fillId="36" borderId="14" xfId="0" applyFill="1" applyBorder="1" applyAlignment="1">
      <alignment horizontal="center"/>
    </xf>
    <xf numFmtId="0" fontId="0" fillId="36" borderId="14" xfId="0" applyFill="1" applyBorder="1"/>
    <xf numFmtId="0" fontId="0" fillId="37" borderId="14" xfId="0" applyFill="1" applyBorder="1" applyAlignment="1">
      <alignment horizontal="center"/>
    </xf>
    <xf numFmtId="0" fontId="0" fillId="37" borderId="14" xfId="0" applyFill="1" applyBorder="1"/>
    <xf numFmtId="0" fontId="0" fillId="31" borderId="14" xfId="0" applyFill="1" applyBorder="1"/>
    <xf numFmtId="181" fontId="0" fillId="0" borderId="0" xfId="0" applyNumberFormat="1"/>
    <xf numFmtId="0" fontId="0" fillId="38" borderId="14" xfId="0" applyFill="1" applyBorder="1" applyAlignment="1">
      <alignment vertical="center"/>
    </xf>
    <xf numFmtId="0" fontId="0" fillId="39" borderId="14" xfId="0" applyFill="1" applyBorder="1"/>
    <xf numFmtId="0" fontId="0" fillId="39" borderId="14" xfId="0" applyFill="1" applyBorder="1" applyAlignment="1">
      <alignment horizontal="center" vertical="center"/>
    </xf>
    <xf numFmtId="0" fontId="0" fillId="39" borderId="14" xfId="0" applyFill="1" applyBorder="1" applyAlignment="1">
      <alignment vertical="center"/>
    </xf>
    <xf numFmtId="0" fontId="0" fillId="39" borderId="14" xfId="0" applyFill="1" applyBorder="1" applyAlignment="1">
      <alignment horizontal="left" vertical="center"/>
    </xf>
    <xf numFmtId="0" fontId="0" fillId="40" borderId="14" xfId="0" applyFill="1" applyBorder="1" applyAlignment="1">
      <alignment horizontal="center" vertical="center"/>
    </xf>
    <xf numFmtId="0" fontId="0" fillId="40" borderId="14" xfId="0" applyFill="1" applyBorder="1" applyAlignment="1">
      <alignment vertical="center"/>
    </xf>
    <xf numFmtId="0" fontId="0" fillId="40" borderId="14" xfId="0" applyFill="1" applyBorder="1"/>
    <xf numFmtId="0" fontId="0" fillId="40" borderId="14" xfId="0" applyFill="1" applyBorder="1" applyAlignment="1">
      <alignment horizontal="left" vertical="center"/>
    </xf>
    <xf numFmtId="0" fontId="0" fillId="41" borderId="14" xfId="0" applyFill="1" applyBorder="1" applyAlignment="1">
      <alignment horizontal="center" vertical="center"/>
    </xf>
    <xf numFmtId="0" fontId="0" fillId="41" borderId="14" xfId="0" applyFill="1" applyBorder="1" applyAlignment="1">
      <alignment vertical="center"/>
    </xf>
    <xf numFmtId="0" fontId="0" fillId="41" borderId="14" xfId="0" applyFill="1" applyBorder="1" applyAlignment="1">
      <alignment horizontal="center"/>
    </xf>
    <xf numFmtId="0" fontId="0" fillId="41" borderId="14" xfId="0" applyFill="1" applyBorder="1"/>
    <xf numFmtId="0" fontId="0" fillId="42" borderId="14" xfId="0" applyFill="1" applyBorder="1" applyAlignment="1">
      <alignment horizontal="center" vertical="center"/>
    </xf>
    <xf numFmtId="0" fontId="0" fillId="42" borderId="14" xfId="0" applyFill="1" applyBorder="1" applyAlignment="1">
      <alignment vertical="center"/>
    </xf>
    <xf numFmtId="0" fontId="0" fillId="42" borderId="14" xfId="0" applyFill="1" applyBorder="1" applyAlignment="1">
      <alignment horizontal="center"/>
    </xf>
    <xf numFmtId="0" fontId="0" fillId="42" borderId="14" xfId="0" applyFill="1" applyBorder="1"/>
    <xf numFmtId="0" fontId="0" fillId="43" borderId="14" xfId="0" applyFill="1" applyBorder="1" applyAlignment="1">
      <alignment horizontal="center"/>
    </xf>
    <xf numFmtId="0" fontId="0" fillId="43" borderId="14" xfId="0" applyFill="1" applyBorder="1"/>
    <xf numFmtId="0" fontId="0" fillId="43" borderId="14" xfId="0" applyFill="1" applyBorder="1" applyAlignment="1">
      <alignment horizontal="center" vertical="center"/>
    </xf>
    <xf numFmtId="0" fontId="0" fillId="43" borderId="14" xfId="0" applyFill="1" applyBorder="1" applyAlignment="1">
      <alignment horizontal="left" vertical="center"/>
    </xf>
    <xf numFmtId="0" fontId="0" fillId="43" borderId="14" xfId="0" applyFill="1" applyBorder="1" applyAlignment="1">
      <alignment vertical="center"/>
    </xf>
    <xf numFmtId="0" fontId="0" fillId="44" borderId="14" xfId="0" applyFill="1" applyBorder="1" applyAlignment="1">
      <alignment horizontal="center"/>
    </xf>
    <xf numFmtId="0" fontId="0" fillId="44" borderId="14" xfId="0" applyFill="1" applyBorder="1"/>
    <xf numFmtId="0" fontId="0" fillId="44" borderId="14" xfId="0" applyFill="1" applyBorder="1" applyAlignment="1">
      <alignment horizontal="center" vertical="center"/>
    </xf>
    <xf numFmtId="0" fontId="0" fillId="44" borderId="14" xfId="0" applyFill="1" applyBorder="1" applyAlignment="1">
      <alignment horizontal="left" vertical="center"/>
    </xf>
    <xf numFmtId="0" fontId="0" fillId="44" borderId="14" xfId="0" applyFill="1" applyBorder="1" applyAlignment="1">
      <alignment vertical="center"/>
    </xf>
    <xf numFmtId="0" fontId="0" fillId="36" borderId="14" xfId="0" applyFill="1" applyBorder="1" applyAlignment="1">
      <alignment horizontal="center" vertical="center"/>
    </xf>
    <xf numFmtId="0" fontId="0" fillId="36" borderId="14" xfId="0" applyFill="1" applyBorder="1" applyAlignment="1">
      <alignment horizontal="left" vertical="center" wrapText="1"/>
    </xf>
    <xf numFmtId="0" fontId="0" fillId="45" borderId="14" xfId="0" applyFill="1" applyBorder="1" applyAlignment="1">
      <alignment horizontal="center"/>
    </xf>
    <xf numFmtId="0" fontId="0" fillId="45" borderId="14" xfId="0" applyFont="1" applyFill="1" applyBorder="1" applyAlignment="1">
      <alignment horizontal="center"/>
    </xf>
    <xf numFmtId="0" fontId="0" fillId="45" borderId="14" xfId="0" applyFont="1" applyFill="1" applyBorder="1"/>
    <xf numFmtId="0" fontId="0" fillId="46" borderId="14" xfId="0" applyFill="1" applyBorder="1" applyAlignment="1">
      <alignment horizontal="center"/>
    </xf>
    <xf numFmtId="0" fontId="0" fillId="46" borderId="14" xfId="0" applyFont="1" applyFill="1" applyBorder="1" applyAlignment="1">
      <alignment horizontal="center"/>
    </xf>
    <xf numFmtId="0" fontId="0" fillId="46" borderId="14" xfId="0" applyFont="1" applyFill="1" applyBorder="1"/>
    <xf numFmtId="0" fontId="0" fillId="31" borderId="14" xfId="0" applyFill="1" applyBorder="1" applyAlignment="1">
      <alignment horizontal="left" vertical="center"/>
    </xf>
    <xf numFmtId="0" fontId="61" fillId="31" borderId="14" xfId="0" applyFont="1" applyFill="1" applyBorder="1" applyAlignment="1">
      <alignment horizontal="left" vertical="center" wrapText="1"/>
    </xf>
    <xf numFmtId="0" fontId="0" fillId="38" borderId="14" xfId="0" applyFill="1" applyBorder="1" applyAlignment="1">
      <alignment horizontal="left" vertical="center"/>
    </xf>
    <xf numFmtId="0" fontId="0" fillId="38" borderId="14" xfId="0" applyFill="1" applyBorder="1"/>
    <xf numFmtId="0" fontId="0" fillId="31" borderId="14" xfId="0" applyFill="1" applyBorder="1" applyAlignment="1">
      <alignment horizontal="right" vertical="center"/>
    </xf>
    <xf numFmtId="0" fontId="0" fillId="31" borderId="14" xfId="0" applyFill="1" applyBorder="1" applyAlignment="1">
      <alignment horizontal="center"/>
    </xf>
    <xf numFmtId="0" fontId="0" fillId="28" borderId="14" xfId="0" applyFill="1" applyBorder="1" applyAlignment="1">
      <alignment vertical="center" wrapText="1"/>
    </xf>
    <xf numFmtId="0" fontId="0" fillId="38" borderId="14" xfId="0" applyFill="1" applyBorder="1" applyAlignment="1">
      <alignment horizontal="center" vertical="center"/>
    </xf>
    <xf numFmtId="0" fontId="32" fillId="0" borderId="101" xfId="0" applyFont="1" applyBorder="1" applyAlignment="1">
      <alignment horizontal="center" vertical="center"/>
    </xf>
    <xf numFmtId="0" fontId="47" fillId="0" borderId="0" xfId="0" applyFont="1"/>
    <xf numFmtId="0" fontId="32" fillId="0" borderId="88" xfId="0" applyFont="1" applyBorder="1" applyAlignment="1">
      <alignment vertical="center"/>
    </xf>
    <xf numFmtId="0" fontId="52" fillId="0" borderId="0" xfId="0" applyFont="1" applyAlignment="1">
      <alignment horizontal="center" vertical="center"/>
    </xf>
    <xf numFmtId="0" fontId="31" fillId="0" borderId="60" xfId="0" applyFont="1" applyBorder="1" applyAlignment="1">
      <alignment vertical="center" wrapText="1"/>
    </xf>
    <xf numFmtId="0" fontId="31" fillId="0" borderId="10" xfId="0" applyFont="1" applyBorder="1" applyAlignment="1">
      <alignment vertical="center" wrapText="1"/>
    </xf>
    <xf numFmtId="182" fontId="32" fillId="0" borderId="34" xfId="0" applyNumberFormat="1" applyFont="1" applyBorder="1" applyAlignment="1">
      <alignment horizontal="right" vertical="center" wrapText="1"/>
    </xf>
    <xf numFmtId="182" fontId="32" fillId="27" borderId="34" xfId="0" applyNumberFormat="1" applyFont="1" applyFill="1" applyBorder="1" applyAlignment="1">
      <alignment horizontal="right" vertical="center" wrapText="1"/>
    </xf>
    <xf numFmtId="182" fontId="32" fillId="0" borderId="14" xfId="0" applyNumberFormat="1" applyFont="1" applyBorder="1" applyAlignment="1">
      <alignment horizontal="right" vertical="center" wrapText="1"/>
    </xf>
    <xf numFmtId="182" fontId="32" fillId="27" borderId="14" xfId="0" applyNumberFormat="1" applyFont="1" applyFill="1" applyBorder="1" applyAlignment="1">
      <alignment horizontal="right" vertical="center" wrapText="1"/>
    </xf>
    <xf numFmtId="182" fontId="32" fillId="26" borderId="14" xfId="0" applyNumberFormat="1" applyFont="1" applyFill="1" applyBorder="1" applyAlignment="1">
      <alignment horizontal="right" vertical="center" wrapText="1"/>
    </xf>
    <xf numFmtId="182" fontId="32" fillId="26" borderId="37" xfId="0" applyNumberFormat="1" applyFont="1" applyFill="1" applyBorder="1" applyAlignment="1">
      <alignment horizontal="right" vertical="center" wrapText="1"/>
    </xf>
    <xf numFmtId="182" fontId="32" fillId="26" borderId="92" xfId="0" applyNumberFormat="1" applyFont="1" applyFill="1" applyBorder="1" applyAlignment="1">
      <alignment horizontal="right" vertical="center" wrapText="1"/>
    </xf>
    <xf numFmtId="0" fontId="59" fillId="0" borderId="63" xfId="0" applyFont="1" applyBorder="1" applyAlignment="1">
      <alignment vertical="center" wrapText="1"/>
    </xf>
    <xf numFmtId="0" fontId="59" fillId="0" borderId="62" xfId="0" applyFont="1" applyBorder="1" applyAlignment="1">
      <alignment vertical="center" wrapText="1"/>
    </xf>
    <xf numFmtId="0" fontId="59" fillId="0" borderId="62" xfId="0" applyFont="1" applyBorder="1" applyAlignment="1">
      <alignment horizontal="justify" vertical="center" wrapText="1"/>
    </xf>
    <xf numFmtId="179" fontId="64" fillId="27" borderId="57" xfId="22" applyNumberFormat="1" applyFont="1" applyFill="1" applyBorder="1" applyAlignment="1"/>
    <xf numFmtId="179" fontId="64" fillId="27" borderId="28" xfId="22" applyNumberFormat="1" applyFont="1" applyFill="1" applyBorder="1" applyAlignment="1"/>
    <xf numFmtId="0" fontId="63" fillId="0" borderId="0" xfId="0" applyFont="1"/>
    <xf numFmtId="179" fontId="64" fillId="27" borderId="58" xfId="22" applyNumberFormat="1" applyFont="1" applyFill="1" applyBorder="1" applyAlignment="1"/>
    <xf numFmtId="179" fontId="64" fillId="27" borderId="30" xfId="22" applyNumberFormat="1" applyFont="1" applyFill="1" applyBorder="1" applyAlignment="1"/>
    <xf numFmtId="179" fontId="64" fillId="26" borderId="59" xfId="22" applyNumberFormat="1" applyFont="1" applyFill="1" applyBorder="1" applyAlignment="1"/>
    <xf numFmtId="179" fontId="64" fillId="26" borderId="41" xfId="22" applyNumberFormat="1" applyFont="1" applyFill="1" applyBorder="1" applyAlignment="1"/>
    <xf numFmtId="176" fontId="62" fillId="0" borderId="23" xfId="0" applyNumberFormat="1" applyFont="1" applyBorder="1" applyAlignment="1">
      <alignment horizontal="center" vertical="center" wrapText="1"/>
    </xf>
    <xf numFmtId="38" fontId="62" fillId="0" borderId="44" xfId="0" applyNumberFormat="1" applyFont="1" applyBorder="1" applyAlignment="1">
      <alignment horizontal="center" vertical="center" wrapText="1"/>
    </xf>
    <xf numFmtId="176" fontId="62" fillId="0" borderId="45" xfId="0" applyNumberFormat="1" applyFont="1" applyBorder="1" applyAlignment="1">
      <alignment horizontal="center" vertical="center" wrapText="1"/>
    </xf>
    <xf numFmtId="176" fontId="62" fillId="0" borderId="46" xfId="0" applyNumberFormat="1" applyFont="1" applyBorder="1" applyAlignment="1">
      <alignment horizontal="center" vertical="center" wrapText="1"/>
    </xf>
    <xf numFmtId="38" fontId="62" fillId="0" borderId="47" xfId="0" applyNumberFormat="1" applyFont="1" applyBorder="1" applyAlignment="1">
      <alignment horizontal="center" vertical="center" wrapText="1"/>
    </xf>
    <xf numFmtId="38" fontId="63" fillId="0" borderId="48" xfId="0" applyNumberFormat="1" applyFont="1" applyBorder="1" applyAlignment="1">
      <alignment horizontal="center" vertical="center" wrapText="1"/>
    </xf>
    <xf numFmtId="38" fontId="63" fillId="0" borderId="44" xfId="0" applyNumberFormat="1" applyFont="1" applyBorder="1" applyAlignment="1">
      <alignment horizontal="center" vertical="center" wrapText="1"/>
    </xf>
    <xf numFmtId="0" fontId="64" fillId="0" borderId="48" xfId="0" applyFont="1" applyBorder="1" applyAlignment="1">
      <alignment horizontal="center" vertical="center"/>
    </xf>
    <xf numFmtId="0" fontId="64" fillId="0" borderId="23" xfId="0" applyFont="1" applyBorder="1" applyAlignment="1">
      <alignment horizontal="center" vertical="center"/>
    </xf>
    <xf numFmtId="0" fontId="64" fillId="0" borderId="23" xfId="0" applyFont="1" applyBorder="1" applyAlignment="1">
      <alignment horizontal="center" vertical="center" wrapText="1"/>
    </xf>
    <xf numFmtId="0" fontId="64" fillId="0" borderId="44" xfId="0" applyFont="1" applyBorder="1" applyAlignment="1">
      <alignment horizontal="center" vertical="center" wrapText="1"/>
    </xf>
    <xf numFmtId="0" fontId="70" fillId="0" borderId="20" xfId="0" applyFont="1" applyBorder="1" applyAlignment="1">
      <alignment horizontal="center" vertical="center" wrapText="1"/>
    </xf>
    <xf numFmtId="178" fontId="67" fillId="0" borderId="27" xfId="0" applyNumberFormat="1" applyFont="1" applyBorder="1" applyAlignment="1">
      <alignment horizontal="center"/>
    </xf>
    <xf numFmtId="178" fontId="67" fillId="0" borderId="28" xfId="0" applyNumberFormat="1" applyFont="1" applyBorder="1" applyAlignment="1">
      <alignment horizontal="center"/>
    </xf>
    <xf numFmtId="178" fontId="71" fillId="0" borderId="27" xfId="0" applyNumberFormat="1" applyFont="1" applyBorder="1"/>
    <xf numFmtId="178" fontId="71" fillId="0" borderId="57" xfId="0" applyNumberFormat="1" applyFont="1" applyBorder="1"/>
    <xf numFmtId="0" fontId="70" fillId="0" borderId="21" xfId="0" applyFont="1" applyBorder="1" applyAlignment="1">
      <alignment horizontal="center" vertical="center" wrapText="1"/>
    </xf>
    <xf numFmtId="178" fontId="67" fillId="0" borderId="29" xfId="0" applyNumberFormat="1" applyFont="1" applyBorder="1" applyAlignment="1">
      <alignment horizontal="center"/>
    </xf>
    <xf numFmtId="178" fontId="67" fillId="0" borderId="30" xfId="0" applyNumberFormat="1" applyFont="1" applyBorder="1" applyAlignment="1">
      <alignment horizontal="center"/>
    </xf>
    <xf numFmtId="178" fontId="71" fillId="0" borderId="29" xfId="0" applyNumberFormat="1" applyFont="1" applyBorder="1"/>
    <xf numFmtId="178" fontId="71" fillId="0" borderId="58" xfId="0" applyNumberFormat="1" applyFont="1" applyBorder="1"/>
    <xf numFmtId="0" fontId="70" fillId="26" borderId="39" xfId="0" applyFont="1" applyFill="1" applyBorder="1" applyAlignment="1">
      <alignment horizontal="center" vertical="center" wrapText="1"/>
    </xf>
    <xf numFmtId="183" fontId="72" fillId="27" borderId="43" xfId="0" applyNumberFormat="1" applyFont="1" applyFill="1" applyBorder="1" applyAlignment="1">
      <alignment horizontal="center" vertical="center" wrapText="1"/>
    </xf>
    <xf numFmtId="183" fontId="73" fillId="27" borderId="49" xfId="0" applyNumberFormat="1" applyFont="1" applyFill="1" applyBorder="1" applyAlignment="1">
      <alignment horizontal="center" vertical="center" wrapText="1"/>
    </xf>
    <xf numFmtId="183" fontId="73" fillId="27" borderId="43" xfId="0" applyNumberFormat="1" applyFont="1" applyFill="1" applyBorder="1" applyAlignment="1">
      <alignment horizontal="center" vertical="center" wrapText="1"/>
    </xf>
    <xf numFmtId="183" fontId="73" fillId="27" borderId="50" xfId="0" applyNumberFormat="1" applyFont="1" applyFill="1" applyBorder="1" applyAlignment="1">
      <alignment horizontal="center" vertical="center" wrapText="1"/>
    </xf>
    <xf numFmtId="183" fontId="74" fillId="26" borderId="40" xfId="0" applyNumberFormat="1" applyFont="1" applyFill="1" applyBorder="1" applyAlignment="1">
      <alignment horizontal="center" vertical="center" wrapText="1"/>
    </xf>
    <xf numFmtId="183" fontId="75" fillId="26" borderId="38" xfId="0" applyNumberFormat="1" applyFont="1" applyFill="1" applyBorder="1" applyAlignment="1">
      <alignment horizontal="center" vertical="center" wrapText="1"/>
    </xf>
    <xf numFmtId="183" fontId="75" fillId="26" borderId="40" xfId="0" applyNumberFormat="1" applyFont="1" applyFill="1" applyBorder="1" applyAlignment="1">
      <alignment horizontal="center" vertical="center" wrapText="1"/>
    </xf>
    <xf numFmtId="183" fontId="75" fillId="26" borderId="41" xfId="0" applyNumberFormat="1" applyFont="1" applyFill="1" applyBorder="1" applyAlignment="1">
      <alignment horizontal="center" vertical="center" wrapText="1"/>
    </xf>
    <xf numFmtId="178" fontId="75" fillId="26" borderId="42" xfId="0" applyNumberFormat="1" applyFont="1" applyFill="1" applyBorder="1" applyAlignment="1">
      <alignment horizontal="center" vertical="center" wrapText="1"/>
    </xf>
    <xf numFmtId="178" fontId="75" fillId="26" borderId="41" xfId="0" applyNumberFormat="1" applyFont="1" applyFill="1" applyBorder="1" applyAlignment="1">
      <alignment horizontal="center" vertical="center" wrapText="1"/>
    </xf>
    <xf numFmtId="178" fontId="76" fillId="26" borderId="42" xfId="0" applyNumberFormat="1" applyFont="1" applyFill="1" applyBorder="1" applyAlignment="1">
      <alignment horizontal="center" vertical="center"/>
    </xf>
    <xf numFmtId="178" fontId="76" fillId="26" borderId="59" xfId="0" applyNumberFormat="1" applyFont="1" applyFill="1" applyBorder="1" applyAlignment="1">
      <alignment horizontal="center" vertical="center"/>
    </xf>
    <xf numFmtId="0" fontId="72" fillId="0" borderId="0" xfId="0" applyFont="1" applyAlignment="1">
      <alignment vertical="center"/>
    </xf>
    <xf numFmtId="176" fontId="72" fillId="0" borderId="0" xfId="0" applyNumberFormat="1" applyFont="1" applyAlignment="1">
      <alignment vertical="center"/>
    </xf>
    <xf numFmtId="38" fontId="72" fillId="0" borderId="0" xfId="0" applyNumberFormat="1" applyFont="1" applyAlignment="1">
      <alignment vertical="center"/>
    </xf>
    <xf numFmtId="38" fontId="72" fillId="0" borderId="0" xfId="0" applyNumberFormat="1" applyFont="1"/>
    <xf numFmtId="0" fontId="72" fillId="0" borderId="0" xfId="0" applyFont="1"/>
    <xf numFmtId="0" fontId="63" fillId="0" borderId="0" xfId="0" applyFont="1" applyAlignment="1">
      <alignment vertical="center"/>
    </xf>
    <xf numFmtId="176" fontId="63" fillId="0" borderId="0" xfId="0" applyNumberFormat="1" applyFont="1" applyAlignment="1">
      <alignment vertical="center"/>
    </xf>
    <xf numFmtId="38" fontId="63" fillId="0" borderId="0" xfId="0" applyNumberFormat="1" applyFont="1" applyAlignment="1">
      <alignment vertical="center"/>
    </xf>
    <xf numFmtId="38" fontId="63" fillId="0" borderId="0" xfId="0" applyNumberFormat="1" applyFont="1"/>
    <xf numFmtId="176" fontId="31" fillId="0" borderId="0" xfId="0" applyNumberFormat="1" applyFont="1" applyAlignment="1">
      <alignment vertical="center"/>
    </xf>
    <xf numFmtId="38" fontId="31" fillId="0" borderId="0" xfId="0" applyNumberFormat="1" applyFont="1" applyAlignment="1">
      <alignment vertical="center"/>
    </xf>
    <xf numFmtId="38" fontId="31" fillId="0" borderId="0" xfId="0" applyNumberFormat="1" applyFont="1"/>
    <xf numFmtId="0" fontId="77" fillId="0" borderId="34" xfId="0" applyFont="1" applyBorder="1" applyAlignment="1">
      <alignment vertical="center"/>
    </xf>
    <xf numFmtId="0" fontId="77" fillId="0" borderId="34" xfId="0" applyFont="1" applyBorder="1" applyAlignment="1">
      <alignment horizontal="center" vertical="center" wrapText="1"/>
    </xf>
    <xf numFmtId="182" fontId="77" fillId="0" borderId="34" xfId="0" applyNumberFormat="1" applyFont="1" applyBorder="1" applyAlignment="1">
      <alignment horizontal="right" vertical="center" wrapText="1"/>
    </xf>
    <xf numFmtId="182" fontId="77" fillId="27" borderId="34" xfId="0" applyNumberFormat="1" applyFont="1" applyFill="1" applyBorder="1" applyAlignment="1">
      <alignment horizontal="right" vertical="center" wrapText="1"/>
    </xf>
    <xf numFmtId="0" fontId="77" fillId="0" borderId="60" xfId="0" applyFont="1" applyBorder="1" applyAlignment="1">
      <alignment vertical="center" wrapText="1"/>
    </xf>
    <xf numFmtId="0" fontId="78" fillId="0" borderId="34" xfId="0" applyFont="1" applyBorder="1"/>
    <xf numFmtId="0" fontId="77" fillId="0" borderId="14" xfId="0" applyFont="1" applyBorder="1" applyAlignment="1">
      <alignment horizontal="center" vertical="center" wrapText="1"/>
    </xf>
    <xf numFmtId="182" fontId="77" fillId="0" borderId="14" xfId="0" applyNumberFormat="1" applyFont="1" applyBorder="1" applyAlignment="1">
      <alignment horizontal="right" vertical="center" wrapText="1"/>
    </xf>
    <xf numFmtId="0" fontId="77" fillId="0" borderId="10" xfId="0" applyFont="1" applyBorder="1" applyAlignment="1">
      <alignment vertical="center" wrapText="1"/>
    </xf>
    <xf numFmtId="0" fontId="78" fillId="0" borderId="14" xfId="0" applyFont="1" applyBorder="1"/>
    <xf numFmtId="0" fontId="77" fillId="0" borderId="14" xfId="0" applyFont="1" applyBorder="1" applyAlignment="1">
      <alignment vertical="center" wrapText="1"/>
    </xf>
    <xf numFmtId="0" fontId="77" fillId="0" borderId="14" xfId="0" applyFont="1" applyBorder="1" applyAlignment="1">
      <alignment vertical="center"/>
    </xf>
    <xf numFmtId="0" fontId="77" fillId="0" borderId="14" xfId="0" applyFont="1" applyBorder="1" applyAlignment="1">
      <alignment horizontal="center" vertical="center"/>
    </xf>
    <xf numFmtId="178" fontId="77" fillId="0" borderId="14" xfId="0" applyNumberFormat="1" applyFont="1" applyBorder="1" applyAlignment="1">
      <alignment horizontal="right" vertical="center"/>
    </xf>
    <xf numFmtId="0" fontId="77" fillId="0" borderId="13" xfId="0" applyFont="1" applyBorder="1" applyAlignment="1">
      <alignment vertical="center" wrapText="1"/>
    </xf>
    <xf numFmtId="178" fontId="77" fillId="0" borderId="14" xfId="0" applyNumberFormat="1" applyFont="1" applyBorder="1" applyAlignment="1">
      <alignment horizontal="right" vertical="center" wrapText="1"/>
    </xf>
    <xf numFmtId="182" fontId="77" fillId="27" borderId="14" xfId="0" applyNumberFormat="1" applyFont="1" applyFill="1" applyBorder="1" applyAlignment="1">
      <alignment horizontal="right" vertical="center" wrapText="1"/>
    </xf>
    <xf numFmtId="0" fontId="77" fillId="0" borderId="0" xfId="0" applyFont="1" applyAlignment="1">
      <alignment vertical="center"/>
    </xf>
    <xf numFmtId="0" fontId="78" fillId="0" borderId="0" xfId="0" applyFont="1"/>
    <xf numFmtId="38" fontId="78" fillId="0" borderId="0" xfId="0" applyNumberFormat="1" applyFont="1"/>
    <xf numFmtId="0" fontId="48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64" fillId="0" borderId="65" xfId="0" applyFont="1" applyBorder="1" applyAlignment="1">
      <alignment horizontal="center" vertical="center"/>
    </xf>
    <xf numFmtId="0" fontId="68" fillId="0" borderId="66" xfId="0" applyFont="1" applyBorder="1" applyAlignment="1">
      <alignment horizontal="center" vertical="center"/>
    </xf>
    <xf numFmtId="0" fontId="68" fillId="0" borderId="66" xfId="0" applyFont="1" applyBorder="1"/>
    <xf numFmtId="0" fontId="68" fillId="0" borderId="67" xfId="0" applyFont="1" applyBorder="1"/>
    <xf numFmtId="0" fontId="65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6" fillId="0" borderId="0" xfId="0" applyFont="1" applyAlignment="1">
      <alignment horizontal="center"/>
    </xf>
    <xf numFmtId="0" fontId="62" fillId="0" borderId="68" xfId="0" applyFont="1" applyBorder="1" applyAlignment="1">
      <alignment horizontal="center" vertical="center" wrapText="1"/>
    </xf>
    <xf numFmtId="0" fontId="62" fillId="0" borderId="69" xfId="0" applyFont="1" applyBorder="1" applyAlignment="1">
      <alignment horizontal="center" vertical="center" wrapText="1"/>
    </xf>
    <xf numFmtId="176" fontId="62" fillId="0" borderId="70" xfId="0" applyNumberFormat="1" applyFont="1" applyBorder="1" applyAlignment="1">
      <alignment horizontal="center" vertical="center" wrapText="1"/>
    </xf>
    <xf numFmtId="176" fontId="62" fillId="0" borderId="71" xfId="0" applyNumberFormat="1" applyFont="1" applyBorder="1" applyAlignment="1">
      <alignment horizontal="center" vertical="center" wrapText="1"/>
    </xf>
    <xf numFmtId="38" fontId="63" fillId="0" borderId="72" xfId="0" applyNumberFormat="1" applyFont="1" applyBorder="1" applyAlignment="1">
      <alignment horizontal="center" vertical="center"/>
    </xf>
    <xf numFmtId="38" fontId="63" fillId="0" borderId="73" xfId="0" applyNumberFormat="1" applyFont="1" applyBorder="1" applyAlignment="1">
      <alignment horizontal="center" vertical="center"/>
    </xf>
    <xf numFmtId="0" fontId="63" fillId="0" borderId="71" xfId="0" applyFont="1" applyBorder="1" applyAlignment="1">
      <alignment horizontal="center" vertical="center" wrapText="1"/>
    </xf>
    <xf numFmtId="0" fontId="63" fillId="0" borderId="74" xfId="0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5" fillId="0" borderId="34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6" fillId="0" borderId="83" xfId="0" applyFont="1" applyBorder="1" applyAlignment="1">
      <alignment horizontal="center" vertical="center" wrapText="1"/>
    </xf>
    <xf numFmtId="38" fontId="8" fillId="25" borderId="84" xfId="0" applyNumberFormat="1" applyFont="1" applyFill="1" applyBorder="1" applyAlignment="1">
      <alignment horizontal="center" vertical="center" wrapText="1"/>
    </xf>
    <xf numFmtId="38" fontId="8" fillId="25" borderId="71" xfId="0" applyNumberFormat="1" applyFont="1" applyFill="1" applyBorder="1" applyAlignment="1">
      <alignment horizontal="center" vertical="center" wrapText="1"/>
    </xf>
    <xf numFmtId="38" fontId="8" fillId="25" borderId="80" xfId="0" applyNumberFormat="1" applyFont="1" applyFill="1" applyBorder="1" applyAlignment="1">
      <alignment horizontal="center" vertical="center" wrapText="1"/>
    </xf>
    <xf numFmtId="38" fontId="0" fillId="26" borderId="85" xfId="0" applyNumberFormat="1" applyFill="1" applyBorder="1" applyAlignment="1">
      <alignment horizontal="center" vertical="center" wrapText="1"/>
    </xf>
    <xf numFmtId="38" fontId="0" fillId="26" borderId="86" xfId="0" applyNumberFormat="1" applyFill="1" applyBorder="1" applyAlignment="1">
      <alignment horizontal="center" vertical="center" wrapText="1"/>
    </xf>
    <xf numFmtId="38" fontId="0" fillId="26" borderId="87" xfId="0" applyNumberFormat="1" applyFill="1" applyBorder="1" applyAlignment="1">
      <alignment horizontal="center" vertical="center" wrapText="1"/>
    </xf>
    <xf numFmtId="38" fontId="8" fillId="0" borderId="81" xfId="0" applyNumberFormat="1" applyFont="1" applyBorder="1" applyAlignment="1">
      <alignment horizontal="center" vertical="center" wrapText="1"/>
    </xf>
    <xf numFmtId="38" fontId="7" fillId="0" borderId="17" xfId="0" applyNumberFormat="1" applyFont="1" applyBorder="1" applyAlignment="1">
      <alignment horizontal="center" vertical="center" wrapText="1"/>
    </xf>
    <xf numFmtId="38" fontId="9" fillId="0" borderId="81" xfId="0" applyNumberFormat="1" applyFont="1" applyBorder="1" applyAlignment="1">
      <alignment horizontal="center" vertical="center" wrapText="1"/>
    </xf>
    <xf numFmtId="38" fontId="35" fillId="0" borderId="17" xfId="0" applyNumberFormat="1" applyFont="1" applyBorder="1" applyAlignment="1">
      <alignment horizontal="center" vertical="center" wrapText="1"/>
    </xf>
    <xf numFmtId="0" fontId="38" fillId="24" borderId="15" xfId="0" applyFont="1" applyFill="1" applyBorder="1" applyAlignment="1">
      <alignment horizontal="center" vertical="center" wrapText="1"/>
    </xf>
    <xf numFmtId="0" fontId="38" fillId="24" borderId="17" xfId="0" applyFont="1" applyFill="1" applyBorder="1" applyAlignment="1">
      <alignment horizontal="center" vertical="center" wrapText="1"/>
    </xf>
    <xf numFmtId="178" fontId="40" fillId="0" borderId="75" xfId="0" applyNumberFormat="1" applyFont="1" applyBorder="1" applyAlignment="1">
      <alignment vertical="center"/>
    </xf>
    <xf numFmtId="178" fontId="40" fillId="0" borderId="76" xfId="0" applyNumberFormat="1" applyFont="1" applyBorder="1" applyAlignment="1">
      <alignment vertical="center"/>
    </xf>
    <xf numFmtId="178" fontId="40" fillId="0" borderId="77" xfId="0" applyNumberFormat="1" applyFont="1" applyBorder="1" applyAlignment="1">
      <alignment vertical="center"/>
    </xf>
    <xf numFmtId="0" fontId="5" fillId="0" borderId="7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79" xfId="0" applyFont="1" applyBorder="1" applyAlignment="1">
      <alignment horizontal="center" vertical="center" wrapText="1"/>
    </xf>
    <xf numFmtId="0" fontId="33" fillId="26" borderId="14" xfId="0" applyFont="1" applyFill="1" applyBorder="1" applyAlignment="1">
      <alignment horizontal="center" vertical="center"/>
    </xf>
    <xf numFmtId="0" fontId="33" fillId="26" borderId="16" xfId="0" applyFont="1" applyFill="1" applyBorder="1" applyAlignment="1">
      <alignment horizontal="center" vertical="center"/>
    </xf>
    <xf numFmtId="0" fontId="38" fillId="24" borderId="19" xfId="0" applyFont="1" applyFill="1" applyBorder="1" applyAlignment="1">
      <alignment horizontal="center" vertical="center" wrapText="1"/>
    </xf>
    <xf numFmtId="0" fontId="38" fillId="24" borderId="53" xfId="0" applyFont="1" applyFill="1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80" xfId="0" applyBorder="1" applyAlignment="1">
      <alignment horizontal="center" vertical="center" wrapText="1"/>
    </xf>
    <xf numFmtId="38" fontId="8" fillId="0" borderId="17" xfId="0" applyNumberFormat="1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45" fillId="26" borderId="14" xfId="0" applyFont="1" applyFill="1" applyBorder="1" applyAlignment="1">
      <alignment horizontal="center" vertical="center"/>
    </xf>
    <xf numFmtId="0" fontId="29" fillId="0" borderId="0" xfId="0" applyFont="1" applyAlignment="1" applyProtection="1">
      <alignment horizontal="center" vertical="center"/>
      <protection locked="0"/>
    </xf>
    <xf numFmtId="0" fontId="50" fillId="0" borderId="14" xfId="0" applyFont="1" applyBorder="1" applyAlignment="1">
      <alignment horizontal="center" vertical="center"/>
    </xf>
    <xf numFmtId="0" fontId="32" fillId="0" borderId="96" xfId="0" applyFont="1" applyBorder="1" applyAlignment="1">
      <alignment horizontal="center" vertical="center"/>
    </xf>
    <xf numFmtId="0" fontId="32" fillId="0" borderId="101" xfId="0" applyFont="1" applyBorder="1" applyAlignment="1">
      <alignment horizontal="center" vertical="center"/>
    </xf>
    <xf numFmtId="0" fontId="32" fillId="0" borderId="89" xfId="0" applyFont="1" applyBorder="1" applyAlignment="1">
      <alignment horizontal="center" vertical="center" textRotation="255"/>
    </xf>
    <xf numFmtId="0" fontId="32" fillId="0" borderId="33" xfId="0" applyFont="1" applyBorder="1" applyAlignment="1">
      <alignment horizontal="center" vertical="center" textRotation="255"/>
    </xf>
    <xf numFmtId="0" fontId="32" fillId="0" borderId="10" xfId="0" applyFont="1" applyBorder="1" applyAlignment="1">
      <alignment horizontal="center" vertical="center" wrapText="1"/>
    </xf>
    <xf numFmtId="0" fontId="32" fillId="0" borderId="95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98" xfId="0" applyFont="1" applyBorder="1" applyAlignment="1">
      <alignment horizontal="center" vertical="center" wrapText="1"/>
    </xf>
    <xf numFmtId="0" fontId="32" fillId="0" borderId="99" xfId="0" applyFont="1" applyBorder="1" applyAlignment="1">
      <alignment horizontal="center" vertical="center" wrapText="1"/>
    </xf>
    <xf numFmtId="0" fontId="32" fillId="0" borderId="97" xfId="0" applyFont="1" applyBorder="1" applyAlignment="1">
      <alignment horizontal="center" vertical="center" textRotation="255" wrapText="1"/>
    </xf>
    <xf numFmtId="0" fontId="32" fillId="0" borderId="89" xfId="0" applyFont="1" applyBorder="1" applyAlignment="1">
      <alignment horizontal="center" vertical="center" textRotation="255" wrapText="1"/>
    </xf>
    <xf numFmtId="0" fontId="32" fillId="0" borderId="14" xfId="0" applyFont="1" applyBorder="1" applyAlignment="1">
      <alignment horizontal="left" vertical="center"/>
    </xf>
    <xf numFmtId="38" fontId="5" fillId="0" borderId="0" xfId="0" applyNumberFormat="1" applyFont="1" applyAlignment="1">
      <alignment horizontal="right" vertical="center"/>
    </xf>
    <xf numFmtId="0" fontId="50" fillId="0" borderId="56" xfId="0" applyFont="1" applyBorder="1" applyAlignment="1">
      <alignment horizontal="center" vertical="center"/>
    </xf>
    <xf numFmtId="0" fontId="50" fillId="0" borderId="37" xfId="0" applyFont="1" applyBorder="1" applyAlignment="1">
      <alignment horizontal="center" vertical="center"/>
    </xf>
    <xf numFmtId="0" fontId="31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horizontal="left"/>
    </xf>
    <xf numFmtId="0" fontId="47" fillId="0" borderId="0" xfId="0" applyFont="1"/>
    <xf numFmtId="0" fontId="32" fillId="0" borderId="88" xfId="0" applyFont="1" applyBorder="1" applyAlignment="1">
      <alignment vertical="center"/>
    </xf>
    <xf numFmtId="0" fontId="0" fillId="0" borderId="88" xfId="0" applyBorder="1" applyAlignment="1">
      <alignment vertical="center"/>
    </xf>
    <xf numFmtId="0" fontId="32" fillId="0" borderId="92" xfId="0" applyFont="1" applyBorder="1" applyAlignment="1">
      <alignment horizontal="center" vertical="center" textRotation="255" wrapText="1" shrinkToFit="1"/>
    </xf>
    <xf numFmtId="0" fontId="32" fillId="0" borderId="104" xfId="0" applyFont="1" applyBorder="1" applyAlignment="1">
      <alignment horizontal="center" vertical="center" textRotation="255" wrapText="1" shrinkToFit="1"/>
    </xf>
    <xf numFmtId="0" fontId="32" fillId="0" borderId="10" xfId="0" applyFont="1" applyBorder="1" applyAlignment="1">
      <alignment horizontal="left" vertical="center"/>
    </xf>
    <xf numFmtId="0" fontId="32" fillId="0" borderId="95" xfId="0" applyFont="1" applyBorder="1" applyAlignment="1">
      <alignment horizontal="left" vertical="center"/>
    </xf>
    <xf numFmtId="0" fontId="32" fillId="0" borderId="35" xfId="0" applyFont="1" applyBorder="1" applyAlignment="1">
      <alignment horizontal="left" vertical="center"/>
    </xf>
    <xf numFmtId="0" fontId="32" fillId="0" borderId="14" xfId="0" applyFont="1" applyBorder="1" applyAlignment="1">
      <alignment horizontal="center" vertical="center" textRotation="255" wrapText="1" shrinkToFit="1"/>
    </xf>
    <xf numFmtId="0" fontId="77" fillId="0" borderId="92" xfId="0" applyFont="1" applyBorder="1" applyAlignment="1">
      <alignment horizontal="center" vertical="center" textRotation="255" wrapText="1" shrinkToFit="1"/>
    </xf>
    <xf numFmtId="0" fontId="77" fillId="0" borderId="104" xfId="0" applyFont="1" applyBorder="1" applyAlignment="1">
      <alignment horizontal="center" vertical="center" textRotation="255" wrapText="1" shrinkToFit="1"/>
    </xf>
    <xf numFmtId="0" fontId="77" fillId="0" borderId="89" xfId="0" applyFont="1" applyBorder="1" applyAlignment="1">
      <alignment horizontal="center" vertical="center" textRotation="255"/>
    </xf>
    <xf numFmtId="0" fontId="77" fillId="0" borderId="33" xfId="0" applyFont="1" applyBorder="1" applyAlignment="1">
      <alignment horizontal="center" vertical="center" textRotation="255"/>
    </xf>
    <xf numFmtId="0" fontId="77" fillId="0" borderId="10" xfId="0" applyFont="1" applyBorder="1" applyAlignment="1">
      <alignment horizontal="center" vertical="center" wrapText="1"/>
    </xf>
    <xf numFmtId="0" fontId="77" fillId="0" borderId="95" xfId="0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vertical="center" wrapText="1"/>
    </xf>
    <xf numFmtId="0" fontId="77" fillId="0" borderId="97" xfId="0" applyFont="1" applyBorder="1" applyAlignment="1">
      <alignment horizontal="center" vertical="center" textRotation="255" wrapText="1"/>
    </xf>
    <xf numFmtId="0" fontId="77" fillId="0" borderId="89" xfId="0" applyFont="1" applyBorder="1" applyAlignment="1">
      <alignment horizontal="center" vertical="center" textRotation="255" wrapText="1"/>
    </xf>
    <xf numFmtId="0" fontId="77" fillId="0" borderId="13" xfId="0" applyFont="1" applyBorder="1" applyAlignment="1">
      <alignment horizontal="center" vertical="center" wrapText="1"/>
    </xf>
    <xf numFmtId="0" fontId="77" fillId="0" borderId="98" xfId="0" applyFont="1" applyBorder="1" applyAlignment="1">
      <alignment horizontal="center" vertical="center" wrapText="1"/>
    </xf>
    <xf numFmtId="0" fontId="77" fillId="0" borderId="99" xfId="0" applyFont="1" applyBorder="1" applyAlignment="1">
      <alignment horizontal="center" vertical="center" wrapText="1"/>
    </xf>
    <xf numFmtId="0" fontId="79" fillId="0" borderId="14" xfId="0" applyFont="1" applyBorder="1" applyAlignment="1">
      <alignment horizontal="center" vertical="center"/>
    </xf>
    <xf numFmtId="0" fontId="77" fillId="0" borderId="10" xfId="0" applyFont="1" applyBorder="1" applyAlignment="1">
      <alignment horizontal="left" vertical="center"/>
    </xf>
    <xf numFmtId="0" fontId="77" fillId="0" borderId="95" xfId="0" applyFont="1" applyBorder="1" applyAlignment="1">
      <alignment horizontal="left" vertical="center"/>
    </xf>
    <xf numFmtId="0" fontId="77" fillId="0" borderId="35" xfId="0" applyFont="1" applyBorder="1" applyAlignment="1">
      <alignment horizontal="left" vertical="center"/>
    </xf>
    <xf numFmtId="0" fontId="41" fillId="0" borderId="0" xfId="0" applyFont="1" applyAlignment="1">
      <alignment wrapText="1"/>
    </xf>
    <xf numFmtId="0" fontId="41" fillId="0" borderId="0" xfId="0" applyFont="1"/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/>
    </xf>
    <xf numFmtId="0" fontId="34" fillId="0" borderId="10" xfId="0" applyFont="1" applyBorder="1" applyAlignment="1">
      <alignment horizontal="center"/>
    </xf>
    <xf numFmtId="0" fontId="52" fillId="0" borderId="0" xfId="0" applyFont="1" applyAlignment="1">
      <alignment horizontal="center" vertical="center"/>
    </xf>
    <xf numFmtId="0" fontId="34" fillId="0" borderId="14" xfId="0" applyFont="1" applyBorder="1" applyAlignment="1">
      <alignment horizontal="center" vertical="center" wrapText="1"/>
    </xf>
    <xf numFmtId="0" fontId="34" fillId="0" borderId="14" xfId="0" applyFont="1" applyBorder="1"/>
    <xf numFmtId="0" fontId="34" fillId="0" borderId="14" xfId="0" applyFont="1" applyBorder="1" applyAlignment="1">
      <alignment horizontal="center" vertical="center"/>
    </xf>
    <xf numFmtId="0" fontId="34" fillId="0" borderId="92" xfId="0" applyFont="1" applyBorder="1" applyAlignment="1">
      <alignment horizontal="center" vertical="center"/>
    </xf>
    <xf numFmtId="179" fontId="34" fillId="27" borderId="12" xfId="0" applyNumberFormat="1" applyFont="1" applyFill="1" applyBorder="1" applyAlignment="1">
      <alignment horizontal="center" vertical="center"/>
    </xf>
    <xf numFmtId="0" fontId="34" fillId="0" borderId="53" xfId="0" applyFont="1" applyBorder="1" applyAlignment="1">
      <alignment horizontal="center"/>
    </xf>
    <xf numFmtId="0" fontId="34" fillId="0" borderId="94" xfId="0" applyFont="1" applyBorder="1"/>
    <xf numFmtId="177" fontId="34" fillId="26" borderId="90" xfId="0" applyNumberFormat="1" applyFont="1" applyFill="1" applyBorder="1" applyAlignment="1">
      <alignment horizontal="center" vertical="center"/>
    </xf>
    <xf numFmtId="177" fontId="34" fillId="26" borderId="91" xfId="0" applyNumberFormat="1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5" fillId="0" borderId="11" xfId="0" applyFont="1" applyBorder="1" applyAlignment="1">
      <alignment horizontal="center"/>
    </xf>
    <xf numFmtId="0" fontId="51" fillId="0" borderId="12" xfId="0" applyFont="1" applyBorder="1" applyAlignment="1">
      <alignment horizontal="center"/>
    </xf>
    <xf numFmtId="177" fontId="45" fillId="26" borderId="90" xfId="0" applyNumberFormat="1" applyFont="1" applyFill="1" applyBorder="1" applyAlignment="1">
      <alignment horizontal="center" vertical="center"/>
    </xf>
    <xf numFmtId="177" fontId="45" fillId="26" borderId="91" xfId="0" applyNumberFormat="1" applyFont="1" applyFill="1" applyBorder="1" applyAlignment="1">
      <alignment horizontal="center" vertical="center"/>
    </xf>
    <xf numFmtId="179" fontId="45" fillId="27" borderId="12" xfId="0" applyNumberFormat="1" applyFont="1" applyFill="1" applyBorder="1" applyAlignment="1">
      <alignment horizontal="center" vertical="center"/>
    </xf>
    <xf numFmtId="0" fontId="34" fillId="0" borderId="92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34" fillId="0" borderId="55" xfId="0" applyFont="1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177" fontId="34" fillId="26" borderId="94" xfId="0" applyNumberFormat="1" applyFont="1" applyFill="1" applyBorder="1" applyAlignment="1">
      <alignment horizontal="center" vertical="center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千分位" xfId="43" builtinId="3"/>
    <cellStyle name="中等" xfId="19" builtinId="28" customBuiltin="1"/>
    <cellStyle name="合計" xfId="20" builtinId="25" customBuiltin="1"/>
    <cellStyle name="好" xfId="21" builtinId="26" customBuiltin="1"/>
    <cellStyle name="百分比" xfId="22" builtinId="5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9" defaultPivotStyle="PivotStyleLight16"/>
  <colors>
    <mruColors>
      <color rgb="FFFF66FF"/>
      <color rgb="FF00FF99"/>
      <color rgb="FF00FF00"/>
      <color rgb="FFFFFFCC"/>
      <color rgb="FFFFFF66"/>
      <color rgb="FFFFCCFF"/>
      <color rgb="FFCCE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8466</xdr:colOff>
      <xdr:row>18</xdr:row>
      <xdr:rowOff>0</xdr:rowOff>
    </xdr:from>
    <xdr:to>
      <xdr:col>7</xdr:col>
      <xdr:colOff>0</xdr:colOff>
      <xdr:row>18</xdr:row>
      <xdr:rowOff>8466</xdr:rowOff>
    </xdr:to>
    <xdr:cxnSp macro="">
      <xdr:nvCxnSpPr>
        <xdr:cNvPr id="5" name="直線接點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CxnSpPr/>
      </xdr:nvCxnSpPr>
      <xdr:spPr>
        <a:xfrm flipV="1">
          <a:off x="5173133" y="4605867"/>
          <a:ext cx="863600" cy="1862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8467</xdr:colOff>
      <xdr:row>18</xdr:row>
      <xdr:rowOff>0</xdr:rowOff>
    </xdr:from>
    <xdr:to>
      <xdr:col>9</xdr:col>
      <xdr:colOff>33866</xdr:colOff>
      <xdr:row>18</xdr:row>
      <xdr:rowOff>8851</xdr:rowOff>
    </xdr:to>
    <xdr:cxnSp macro="">
      <xdr:nvCxnSpPr>
        <xdr:cNvPr id="7" name="直線接點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CxnSpPr/>
      </xdr:nvCxnSpPr>
      <xdr:spPr>
        <a:xfrm flipV="1">
          <a:off x="6917267" y="4588933"/>
          <a:ext cx="897466" cy="203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8466</xdr:colOff>
      <xdr:row>32</xdr:row>
      <xdr:rowOff>0</xdr:rowOff>
    </xdr:from>
    <xdr:to>
      <xdr:col>7</xdr:col>
      <xdr:colOff>0</xdr:colOff>
      <xdr:row>32</xdr:row>
      <xdr:rowOff>12073</xdr:rowOff>
    </xdr:to>
    <xdr:cxnSp macro="">
      <xdr:nvCxnSpPr>
        <xdr:cNvPr id="15" name="直線接點 14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CxnSpPr/>
      </xdr:nvCxnSpPr>
      <xdr:spPr>
        <a:xfrm flipV="1">
          <a:off x="5173133" y="4605867"/>
          <a:ext cx="863600" cy="1862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8467</xdr:colOff>
      <xdr:row>32</xdr:row>
      <xdr:rowOff>0</xdr:rowOff>
    </xdr:from>
    <xdr:to>
      <xdr:col>9</xdr:col>
      <xdr:colOff>33866</xdr:colOff>
      <xdr:row>32</xdr:row>
      <xdr:rowOff>11994</xdr:rowOff>
    </xdr:to>
    <xdr:cxnSp macro="">
      <xdr:nvCxnSpPr>
        <xdr:cNvPr id="16" name="直線接點 15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CxnSpPr/>
      </xdr:nvCxnSpPr>
      <xdr:spPr>
        <a:xfrm flipV="1">
          <a:off x="6917267" y="4588933"/>
          <a:ext cx="897466" cy="203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T15"/>
  <sheetViews>
    <sheetView view="pageBreakPreview" zoomScale="55" zoomScaleNormal="85" zoomScaleSheetLayoutView="55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D7" sqref="D7"/>
    </sheetView>
  </sheetViews>
  <sheetFormatPr defaultRowHeight="16.2"/>
  <cols>
    <col min="1" max="1" width="12.21875" style="1" customWidth="1"/>
    <col min="2" max="2" width="23.77734375" style="2" bestFit="1" customWidth="1"/>
    <col min="3" max="3" width="13.88671875" style="2" customWidth="1"/>
    <col min="4" max="4" width="13.109375" style="2" customWidth="1"/>
    <col min="5" max="5" width="14.33203125" style="2" customWidth="1"/>
    <col min="6" max="6" width="19.44140625" style="3" bestFit="1" customWidth="1"/>
    <col min="7" max="7" width="19.44140625" style="2" bestFit="1" customWidth="1"/>
    <col min="8" max="8" width="15.77734375" style="2" bestFit="1" customWidth="1"/>
    <col min="9" max="9" width="19.44140625" style="3" bestFit="1" customWidth="1"/>
    <col min="10" max="10" width="16.88671875" style="17" bestFit="1" customWidth="1"/>
    <col min="11" max="11" width="19.5546875" style="17" bestFit="1" customWidth="1"/>
    <col min="12" max="13" width="16.88671875" bestFit="1" customWidth="1"/>
    <col min="14" max="14" width="11.21875" bestFit="1" customWidth="1"/>
    <col min="15" max="15" width="12.88671875" bestFit="1" customWidth="1"/>
  </cols>
  <sheetData>
    <row r="1" spans="1:20" ht="30.6">
      <c r="A1" s="283" t="s">
        <v>430</v>
      </c>
      <c r="B1" s="284"/>
      <c r="C1" s="284"/>
      <c r="D1" s="284"/>
      <c r="E1" s="284"/>
      <c r="F1" s="284"/>
      <c r="G1" s="285"/>
      <c r="H1" s="285"/>
      <c r="I1" s="285"/>
    </row>
    <row r="2" spans="1:20" ht="16.8" thickBot="1">
      <c r="J2" s="23"/>
      <c r="N2" s="82" t="s">
        <v>94</v>
      </c>
      <c r="O2" s="77"/>
    </row>
    <row r="3" spans="1:20" s="22" customFormat="1" ht="23.4" thickTop="1" thickBot="1">
      <c r="A3" s="286" t="s">
        <v>53</v>
      </c>
      <c r="B3" s="292" t="s">
        <v>75</v>
      </c>
      <c r="C3" s="292"/>
      <c r="D3" s="292"/>
      <c r="E3" s="292"/>
      <c r="F3" s="293"/>
      <c r="G3" s="288" t="s">
        <v>81</v>
      </c>
      <c r="H3" s="289"/>
      <c r="I3" s="289"/>
      <c r="J3" s="290" t="s">
        <v>61</v>
      </c>
      <c r="K3" s="291"/>
      <c r="L3" s="279" t="s">
        <v>105</v>
      </c>
      <c r="M3" s="280"/>
      <c r="N3" s="281"/>
      <c r="O3" s="282"/>
    </row>
    <row r="4" spans="1:20" s="22" customFormat="1" ht="86.25" customHeight="1" thickTop="1" thickBot="1">
      <c r="A4" s="287"/>
      <c r="B4" s="211" t="s">
        <v>440</v>
      </c>
      <c r="C4" s="211" t="s">
        <v>80</v>
      </c>
      <c r="D4" s="211" t="s">
        <v>12</v>
      </c>
      <c r="E4" s="211" t="s">
        <v>54</v>
      </c>
      <c r="F4" s="212" t="s">
        <v>50</v>
      </c>
      <c r="G4" s="213" t="s">
        <v>0</v>
      </c>
      <c r="H4" s="214" t="s">
        <v>49</v>
      </c>
      <c r="I4" s="215" t="s">
        <v>50</v>
      </c>
      <c r="J4" s="216" t="s">
        <v>68</v>
      </c>
      <c r="K4" s="217" t="s">
        <v>69</v>
      </c>
      <c r="L4" s="218" t="s">
        <v>64</v>
      </c>
      <c r="M4" s="219" t="s">
        <v>65</v>
      </c>
      <c r="N4" s="220" t="s">
        <v>66</v>
      </c>
      <c r="O4" s="221" t="s">
        <v>67</v>
      </c>
    </row>
    <row r="5" spans="1:20" s="206" customFormat="1" ht="61.8" customHeight="1" thickTop="1" thickBot="1">
      <c r="A5" s="222" t="s">
        <v>45</v>
      </c>
      <c r="B5" s="233">
        <f>SUM('y-2檢核表'!D6:E10)+SUM('y-2檢核表'!D20:E24)</f>
        <v>383</v>
      </c>
      <c r="C5" s="233">
        <f>SUM('y-2檢核表'!F6:G10)+SUM('y-2檢核表'!F20:G24)</f>
        <v>67</v>
      </c>
      <c r="D5" s="233">
        <f>SUM('y-2檢核表'!H6:I10)+SUM('y-2檢核表'!H20:I24)</f>
        <v>0</v>
      </c>
      <c r="E5" s="233">
        <f>SUM('y-2檢核表'!J6:K10)+SUM('y-2檢核表'!J20:K24)</f>
        <v>0</v>
      </c>
      <c r="F5" s="234">
        <f>SUM(B5:E5)</f>
        <v>450</v>
      </c>
      <c r="G5" s="235">
        <f>SUM('y-2檢核表'!L6:L10)+SUM('y-2檢核表'!L20:L24)</f>
        <v>450</v>
      </c>
      <c r="H5" s="235">
        <f>SUM('y-2檢核表'!M6:M10)+SUM('y-2檢核表'!M20:M24)</f>
        <v>0</v>
      </c>
      <c r="I5" s="236">
        <f>SUM(G5:H5)</f>
        <v>450</v>
      </c>
      <c r="J5" s="223"/>
      <c r="K5" s="224"/>
      <c r="L5" s="225"/>
      <c r="M5" s="226"/>
      <c r="N5" s="204">
        <f t="shared" ref="N5:O8" si="0">L5/G5</f>
        <v>0</v>
      </c>
      <c r="O5" s="205" t="e">
        <f t="shared" si="0"/>
        <v>#DIV/0!</v>
      </c>
    </row>
    <row r="6" spans="1:20" s="206" customFormat="1" ht="61.8" customHeight="1" thickBot="1">
      <c r="A6" s="227" t="s">
        <v>46</v>
      </c>
      <c r="B6" s="233">
        <f>SUM('y-2檢核表'!D11:E13)+SUM('y-2檢核表'!D25:E27)</f>
        <v>857</v>
      </c>
      <c r="C6" s="233">
        <f>SUM('y-2檢核表'!F11:G13)+SUM('y-2檢核表'!F25:G27)</f>
        <v>153</v>
      </c>
      <c r="D6" s="233">
        <f>SUM('y-2檢核表'!H11:I13)+SUM('y-2檢核表'!H25:I27)</f>
        <v>0</v>
      </c>
      <c r="E6" s="233">
        <f>SUM('y-2檢核表'!J11:K13)+SUM('y-2檢核表'!J25:K27)</f>
        <v>0</v>
      </c>
      <c r="F6" s="234">
        <f>SUM(B6:E6)</f>
        <v>1010</v>
      </c>
      <c r="G6" s="235">
        <f>SUM('y-2檢核表'!L11:L13)+SUM('y-2檢核表'!L25:L27)</f>
        <v>500</v>
      </c>
      <c r="H6" s="235">
        <f>SUM('y-2檢核表'!M11:M13)+SUM('y-2檢核表'!M25:M27)</f>
        <v>510</v>
      </c>
      <c r="I6" s="236">
        <f>SUM(G6:H6)</f>
        <v>1010</v>
      </c>
      <c r="J6" s="228"/>
      <c r="K6" s="229"/>
      <c r="L6" s="230"/>
      <c r="M6" s="231"/>
      <c r="N6" s="207">
        <f t="shared" si="0"/>
        <v>0</v>
      </c>
      <c r="O6" s="208">
        <f t="shared" si="0"/>
        <v>0</v>
      </c>
    </row>
    <row r="7" spans="1:20" s="206" customFormat="1" ht="61.8" customHeight="1" thickBot="1">
      <c r="A7" s="227" t="s">
        <v>47</v>
      </c>
      <c r="B7" s="233">
        <f>SUM('y-2檢核表'!D14:E16)+SUM('y-2檢核表'!D28:E30)</f>
        <v>154</v>
      </c>
      <c r="C7" s="233">
        <f>SUM('y-2檢核表'!F14:G16)+SUM('y-2檢核表'!F28:G30)</f>
        <v>26</v>
      </c>
      <c r="D7" s="233">
        <f>SUM('y-2檢核表'!H14:I15)+SUM('y-2檢核表'!H28:I29)</f>
        <v>0</v>
      </c>
      <c r="E7" s="233">
        <f>SUM('y-2檢核表'!I14:J15)+SUM('y-2檢核表'!I28:J29)</f>
        <v>0</v>
      </c>
      <c r="F7" s="234">
        <f>SUM(B7:E7)</f>
        <v>180</v>
      </c>
      <c r="G7" s="235">
        <f>SUM('y-2檢核表'!L14:L16)+SUM('y-2檢核表'!L28:L30)</f>
        <v>180</v>
      </c>
      <c r="H7" s="235">
        <f>SUM('y-2檢核表'!M14:M16)+SUM('y-2檢核表'!M28:M30)</f>
        <v>0</v>
      </c>
      <c r="I7" s="236">
        <f>SUM(G7:H7)</f>
        <v>180</v>
      </c>
      <c r="J7" s="228"/>
      <c r="K7" s="229"/>
      <c r="L7" s="230"/>
      <c r="M7" s="231"/>
      <c r="N7" s="207">
        <f t="shared" si="0"/>
        <v>0</v>
      </c>
      <c r="O7" s="208" t="e">
        <f t="shared" si="0"/>
        <v>#DIV/0!</v>
      </c>
    </row>
    <row r="8" spans="1:20" s="206" customFormat="1" ht="61.8" customHeight="1" thickBot="1">
      <c r="A8" s="227" t="s">
        <v>48</v>
      </c>
      <c r="B8" s="233">
        <f>SUM('y-2檢核表'!D17:E18)+SUM('y-2檢核表'!D31:E32)</f>
        <v>306</v>
      </c>
      <c r="C8" s="233">
        <f>SUM('y-2檢核表'!F17:G18)+SUM('y-2檢核表'!F31:G32)</f>
        <v>54</v>
      </c>
      <c r="D8" s="233">
        <f>SUM('y-2檢核表'!H17:I18)+SUM('y-2檢核表'!H31:I32)</f>
        <v>0</v>
      </c>
      <c r="E8" s="233">
        <f>SUM('y-2檢核表'!J17:K18)+SUM('y-2檢核表'!J31:K32)</f>
        <v>0</v>
      </c>
      <c r="F8" s="234">
        <f>SUM(B8:E8)</f>
        <v>360</v>
      </c>
      <c r="G8" s="235">
        <f>SUM('y-2檢核表'!L17:L18)+SUM('y-2檢核表'!L31:L32)</f>
        <v>320</v>
      </c>
      <c r="H8" s="235">
        <f>SUM('y-2檢核表'!M17:M18)+SUM('y-2檢核表'!M31:M32)</f>
        <v>40</v>
      </c>
      <c r="I8" s="236">
        <f>SUM(G8:H8)</f>
        <v>360</v>
      </c>
      <c r="J8" s="228"/>
      <c r="K8" s="229"/>
      <c r="L8" s="230"/>
      <c r="M8" s="231"/>
      <c r="N8" s="207">
        <f t="shared" si="0"/>
        <v>0</v>
      </c>
      <c r="O8" s="208">
        <f t="shared" si="0"/>
        <v>0</v>
      </c>
    </row>
    <row r="9" spans="1:20" s="206" customFormat="1" ht="61.8" customHeight="1" thickBot="1">
      <c r="A9" s="232" t="s">
        <v>62</v>
      </c>
      <c r="B9" s="237">
        <f t="shared" ref="B9:M9" si="1">SUM(B5:B8)</f>
        <v>1700</v>
      </c>
      <c r="C9" s="237">
        <f t="shared" si="1"/>
        <v>300</v>
      </c>
      <c r="D9" s="237">
        <f t="shared" si="1"/>
        <v>0</v>
      </c>
      <c r="E9" s="237">
        <f t="shared" si="1"/>
        <v>0</v>
      </c>
      <c r="F9" s="238">
        <f t="shared" si="1"/>
        <v>2000</v>
      </c>
      <c r="G9" s="239">
        <f t="shared" si="1"/>
        <v>1450</v>
      </c>
      <c r="H9" s="239">
        <f t="shared" si="1"/>
        <v>550</v>
      </c>
      <c r="I9" s="240">
        <f t="shared" si="1"/>
        <v>2000</v>
      </c>
      <c r="J9" s="241">
        <f t="shared" si="1"/>
        <v>0</v>
      </c>
      <c r="K9" s="242">
        <f t="shared" si="1"/>
        <v>0</v>
      </c>
      <c r="L9" s="243">
        <f t="shared" si="1"/>
        <v>0</v>
      </c>
      <c r="M9" s="244">
        <f t="shared" si="1"/>
        <v>0</v>
      </c>
      <c r="N9" s="209">
        <f>L9/G9</f>
        <v>0</v>
      </c>
      <c r="O9" s="210">
        <f>M9/H9</f>
        <v>0</v>
      </c>
    </row>
    <row r="10" spans="1:20" ht="16.8" thickTop="1">
      <c r="A10" s="277" t="s">
        <v>104</v>
      </c>
      <c r="B10" s="278"/>
      <c r="C10" s="278"/>
      <c r="D10" s="278"/>
      <c r="E10" s="278"/>
      <c r="F10" s="278"/>
      <c r="G10" s="278"/>
      <c r="H10" s="278"/>
      <c r="I10" s="278"/>
      <c r="J10" s="278"/>
      <c r="K10" s="278"/>
      <c r="L10" s="278"/>
      <c r="M10" s="278"/>
      <c r="N10" s="278"/>
      <c r="O10" s="278"/>
      <c r="P10" s="278"/>
      <c r="Q10" s="278"/>
      <c r="R10" s="278"/>
      <c r="S10" s="278"/>
      <c r="T10" s="278"/>
    </row>
    <row r="11" spans="1:20" s="34" customFormat="1" ht="15">
      <c r="A11" s="30" t="s">
        <v>74</v>
      </c>
      <c r="B11" s="31"/>
      <c r="C11" s="31"/>
      <c r="D11" s="31"/>
      <c r="E11" s="32"/>
      <c r="F11" s="31"/>
      <c r="G11" s="31"/>
      <c r="H11" s="32"/>
      <c r="I11" s="33"/>
      <c r="J11" s="33"/>
    </row>
    <row r="12" spans="1:20" s="34" customFormat="1" ht="16.5" customHeight="1">
      <c r="A12" s="30" t="s">
        <v>93</v>
      </c>
      <c r="B12" s="31"/>
      <c r="C12" s="31"/>
      <c r="D12" s="31"/>
      <c r="E12" s="32"/>
      <c r="F12" s="31"/>
      <c r="G12" s="31"/>
      <c r="H12" s="32"/>
      <c r="I12" s="33"/>
      <c r="J12" s="33"/>
    </row>
    <row r="13" spans="1:20" s="34" customFormat="1" ht="15">
      <c r="A13" s="30" t="s">
        <v>92</v>
      </c>
      <c r="B13" s="31"/>
      <c r="C13" s="31"/>
      <c r="D13" s="31"/>
      <c r="E13" s="31"/>
      <c r="F13" s="32"/>
      <c r="G13" s="31"/>
      <c r="H13" s="31"/>
      <c r="I13" s="32"/>
      <c r="J13" s="33"/>
      <c r="K13" s="33"/>
    </row>
    <row r="15" spans="1:20" s="249" customFormat="1" ht="30.6">
      <c r="A15" s="245"/>
      <c r="B15" s="246" t="s">
        <v>444</v>
      </c>
      <c r="C15" s="246"/>
      <c r="D15" s="246"/>
      <c r="E15" s="246" t="s">
        <v>441</v>
      </c>
      <c r="F15" s="247"/>
      <c r="G15" s="246"/>
      <c r="H15" s="246"/>
      <c r="I15" s="247" t="s">
        <v>442</v>
      </c>
      <c r="J15" s="248"/>
      <c r="K15" s="248"/>
      <c r="M15" s="246" t="s">
        <v>443</v>
      </c>
    </row>
  </sheetData>
  <mergeCells count="7">
    <mergeCell ref="A10:T10"/>
    <mergeCell ref="L3:O3"/>
    <mergeCell ref="A1:I1"/>
    <mergeCell ref="A3:A4"/>
    <mergeCell ref="G3:I3"/>
    <mergeCell ref="J3:K3"/>
    <mergeCell ref="B3:F3"/>
  </mergeCells>
  <phoneticPr fontId="1" type="noConversion"/>
  <printOptions horizontalCentered="1" verticalCentered="1"/>
  <pageMargins left="0" right="0" top="0.78740157480314965" bottom="0.78740157480314965" header="0.51181102362204722" footer="0.51181102362204722"/>
  <pageSetup paperSize="9" scale="56" orientation="landscape" r:id="rId1"/>
  <headerFooter alignWithMargins="0">
    <oddFooter>第 &amp;P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N53"/>
  <sheetViews>
    <sheetView tabSelected="1" view="pageBreakPreview" zoomScale="90" zoomScaleNormal="90" zoomScaleSheetLayoutView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F41" sqref="F41"/>
    </sheetView>
  </sheetViews>
  <sheetFormatPr defaultColWidth="9" defaultRowHeight="16.2"/>
  <cols>
    <col min="1" max="1" width="4" style="1" customWidth="1"/>
    <col min="2" max="2" width="13.88671875" style="1" customWidth="1"/>
    <col min="3" max="3" width="27.33203125" style="1" customWidth="1"/>
    <col min="4" max="4" width="16" style="3" bestFit="1" customWidth="1"/>
    <col min="5" max="14" width="12.6640625" style="3" customWidth="1"/>
  </cols>
  <sheetData>
    <row r="1" spans="1:14" ht="22.2">
      <c r="A1" s="294" t="s">
        <v>431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</row>
    <row r="2" spans="1:14" ht="16.8" thickBot="1">
      <c r="N2" s="4" t="s">
        <v>3</v>
      </c>
    </row>
    <row r="3" spans="1:14" ht="17.25" customHeight="1" thickTop="1" thickBot="1">
      <c r="A3" s="328" t="s">
        <v>2</v>
      </c>
      <c r="B3" s="318" t="s">
        <v>52</v>
      </c>
      <c r="C3" s="300" t="s">
        <v>51</v>
      </c>
      <c r="D3" s="325" t="s">
        <v>76</v>
      </c>
      <c r="E3" s="325"/>
      <c r="F3" s="325"/>
      <c r="G3" s="325"/>
      <c r="H3" s="325"/>
      <c r="I3" s="325"/>
      <c r="J3" s="325"/>
      <c r="K3" s="326"/>
      <c r="L3" s="303" t="s">
        <v>86</v>
      </c>
      <c r="M3" s="304"/>
      <c r="N3" s="305"/>
    </row>
    <row r="4" spans="1:14" ht="52.5" customHeight="1">
      <c r="A4" s="329"/>
      <c r="B4" s="319"/>
      <c r="C4" s="301"/>
      <c r="D4" s="309" t="s">
        <v>82</v>
      </c>
      <c r="E4" s="310"/>
      <c r="F4" s="311" t="s">
        <v>83</v>
      </c>
      <c r="G4" s="312"/>
      <c r="H4" s="309" t="s">
        <v>84</v>
      </c>
      <c r="I4" s="327"/>
      <c r="J4" s="309" t="s">
        <v>85</v>
      </c>
      <c r="K4" s="327"/>
      <c r="L4" s="306"/>
      <c r="M4" s="307"/>
      <c r="N4" s="308"/>
    </row>
    <row r="5" spans="1:14" ht="16.8" thickBot="1">
      <c r="A5" s="330"/>
      <c r="B5" s="320"/>
      <c r="C5" s="302"/>
      <c r="D5" s="24" t="s">
        <v>63</v>
      </c>
      <c r="E5" s="25" t="s">
        <v>1</v>
      </c>
      <c r="F5" s="26" t="s">
        <v>0</v>
      </c>
      <c r="G5" s="25" t="s">
        <v>1</v>
      </c>
      <c r="H5" s="26" t="s">
        <v>0</v>
      </c>
      <c r="I5" s="25" t="s">
        <v>1</v>
      </c>
      <c r="J5" s="26" t="s">
        <v>0</v>
      </c>
      <c r="K5" s="25" t="s">
        <v>1</v>
      </c>
      <c r="L5" s="27" t="s">
        <v>0</v>
      </c>
      <c r="M5" s="28" t="s">
        <v>55</v>
      </c>
      <c r="N5" s="29" t="s">
        <v>56</v>
      </c>
    </row>
    <row r="6" spans="1:14" ht="16.8" thickTop="1">
      <c r="A6" s="296" t="s">
        <v>108</v>
      </c>
      <c r="B6" s="69" t="s">
        <v>110</v>
      </c>
      <c r="C6" s="201" t="s">
        <v>432</v>
      </c>
      <c r="D6" s="35">
        <f>SUMIFS(各子計畫經費!$L:$L,各子計畫經費!$G:$G,"A",各子計畫經費!$F:$F,"1",各子計畫經費!$E:$E,"108",各子計畫經費!$B:$B,"經")/1000*0.85+0.5</f>
        <v>298</v>
      </c>
      <c r="E6" s="35">
        <f>SUMIFS(各子計畫經費!$L:$L,各子計畫經費!$G:$G,"A",各子計畫經費!$F:$F,"1",各子計畫經費!$E:$E,"108",各子計畫經費!$B:$B,"資")/1000*0.7</f>
        <v>0</v>
      </c>
      <c r="F6" s="35">
        <f>SUMIFS(各子計畫經費!$L:$L,各子計畫經費!$G:$G,"A",各子計畫經費!$F:$F,"1",各子計畫經費!$E:$E,"108",各子計畫經費!$B:$B,"經")/1000*0.15-0.5</f>
        <v>52</v>
      </c>
      <c r="G6" s="35">
        <f>SUMIFS(各子計畫經費!$L:$L,各子計畫經費!$G:$G,"A",各子計畫經費!$F:$F,"1",各子計畫經費!$E:$E,"108",各子計畫經費!$B:$B,"資")/1000*0.15</f>
        <v>0</v>
      </c>
      <c r="H6" s="35"/>
      <c r="I6" s="35"/>
      <c r="J6" s="35"/>
      <c r="K6" s="35"/>
      <c r="L6" s="38">
        <f>D6+F6+H6+J6</f>
        <v>350</v>
      </c>
      <c r="M6" s="39">
        <f>E6+G6+I6+K6</f>
        <v>0</v>
      </c>
      <c r="N6" s="40">
        <f>SUM(L6:M6)</f>
        <v>350</v>
      </c>
    </row>
    <row r="7" spans="1:14">
      <c r="A7" s="297"/>
      <c r="B7" s="69" t="s">
        <v>111</v>
      </c>
      <c r="C7" s="202" t="s">
        <v>4</v>
      </c>
      <c r="D7" s="35">
        <f>SUMIFS(各子計畫經費!$L:$L,各子計畫經費!$G:$G,"A",各子計畫經費!$F:$F,"2",各子計畫經費!$E:$E,"108",各子計畫經費!$B:$B,"經")/1000*0.85</f>
        <v>0</v>
      </c>
      <c r="E7" s="35">
        <f>SUMIFS(各子計畫經費!$L:$L,各子計畫經費!$G:$G,"A",各子計畫經費!$F:$F,"2",各子計畫經費!$E:$E,"108",各子計畫經費!$B:$B,"資")/1000*0.7</f>
        <v>0</v>
      </c>
      <c r="F7" s="35">
        <f>SUMIFS(各子計畫經費!$L:$L,各子計畫經費!$G:$G,"A",各子計畫經費!$F:$F,"2",各子計畫經費!$E:$E,"108",各子計畫經費!$B:$B,"經")/1000*0.15</f>
        <v>0</v>
      </c>
      <c r="G7" s="35">
        <f>SUMIFS(各子計畫經費!$L:$L,各子計畫經費!$G:$G,"A",各子計畫經費!$F:$F,"2",各子計畫經費!$E:$E,"108",各子計畫經費!$B:$B,"資")/1000*0.15</f>
        <v>0</v>
      </c>
      <c r="H7" s="35"/>
      <c r="I7" s="35"/>
      <c r="J7" s="35"/>
      <c r="K7" s="35"/>
      <c r="L7" s="42">
        <f t="shared" ref="L7:L31" si="0">D7+F7+H7+J7</f>
        <v>0</v>
      </c>
      <c r="M7" s="43">
        <f t="shared" ref="M7:M32" si="1">E7+G7+I7+K7</f>
        <v>0</v>
      </c>
      <c r="N7" s="44">
        <f t="shared" ref="N7:N32" si="2">SUM(L7:M7)</f>
        <v>0</v>
      </c>
    </row>
    <row r="8" spans="1:14">
      <c r="A8" s="297"/>
      <c r="B8" s="69" t="s">
        <v>112</v>
      </c>
      <c r="C8" s="202"/>
      <c r="D8" s="35">
        <f>SUMIFS(各子計畫經費!$L:$L,各子計畫經費!$G:$G,"A",各子計畫經費!$F:$F,"3",各子計畫經費!$E:$E,"108",各子計畫經費!$B:$B,"經")/1000*0.85</f>
        <v>0</v>
      </c>
      <c r="E8" s="35">
        <f>SUMIFS(各子計畫經費!$L:$L,各子計畫經費!$G:$G,"A",各子計畫經費!$F:$F,"3",各子計畫經費!$E:$E,"108",各子計畫經費!$B:$B,"資")/1000*0.7</f>
        <v>0</v>
      </c>
      <c r="F8" s="35">
        <f>SUMIFS(各子計畫經費!$L:$L,各子計畫經費!$G:$G,"A",各子計畫經費!$F:$F,"3",各子計畫經費!$E:$E,"108",各子計畫經費!$B:$B,"經")/1000*0.15</f>
        <v>0</v>
      </c>
      <c r="G8" s="35">
        <f>SUMIFS(各子計畫經費!$L:$L,各子計畫經費!$G:$G,"A",各子計畫經費!$F:$F,"3",各子計畫經費!$E:$E,"108",各子計畫經費!$B:$B,"資")/1000*0.3</f>
        <v>0</v>
      </c>
      <c r="H8" s="35"/>
      <c r="I8" s="35"/>
      <c r="J8" s="35"/>
      <c r="K8" s="35"/>
      <c r="L8" s="42">
        <f t="shared" si="0"/>
        <v>0</v>
      </c>
      <c r="M8" s="43">
        <f t="shared" si="1"/>
        <v>0</v>
      </c>
      <c r="N8" s="44">
        <f t="shared" si="2"/>
        <v>0</v>
      </c>
    </row>
    <row r="9" spans="1:14">
      <c r="A9" s="297"/>
      <c r="B9" s="69" t="s">
        <v>113</v>
      </c>
      <c r="C9" s="202"/>
      <c r="D9" s="35">
        <f>SUMIFS(各子計畫經費!$L:$L,各子計畫經費!$G:$G,"A",各子計畫經費!$F:$F,"4",各子計畫經費!$E:$E,"108",各子計畫經費!$B:$B,"經")/1000*0.85</f>
        <v>0</v>
      </c>
      <c r="E9" s="35">
        <f>SUMIFS(各子計畫經費!$L:$L,各子計畫經費!$G:$G,"A",各子計畫經費!$F:$F,"4",各子計畫經費!$E:$E,"108",各子計畫經費!$B:$B,"資")/1000*0.7</f>
        <v>0</v>
      </c>
      <c r="F9" s="35">
        <f>SUMIFS(各子計畫經費!$L:$L,各子計畫經費!$G:$G,"A",各子計畫經費!$F:$F,"4",各子計畫經費!$E:$E,"108",各子計畫經費!$B:$B,"經")/1000*0.15</f>
        <v>0</v>
      </c>
      <c r="G9" s="35">
        <f>SUMIFS(各子計畫經費!$L:$L,各子計畫經費!$G:$G,"A",各子計畫經費!$F:$F,"4",各子計畫經費!$E:$E,"108",各子計畫經費!$B:$B,"資")/1000*0.3</f>
        <v>0</v>
      </c>
      <c r="H9" s="35"/>
      <c r="I9" s="35"/>
      <c r="J9" s="35"/>
      <c r="K9" s="35"/>
      <c r="L9" s="42">
        <f t="shared" si="0"/>
        <v>0</v>
      </c>
      <c r="M9" s="39">
        <f>E9+G9+I9+K9</f>
        <v>0</v>
      </c>
      <c r="N9" s="40">
        <f>SUM(L9:M9)</f>
        <v>0</v>
      </c>
    </row>
    <row r="10" spans="1:14">
      <c r="A10" s="297"/>
      <c r="B10" s="69" t="s">
        <v>114</v>
      </c>
      <c r="C10" s="202"/>
      <c r="D10" s="35">
        <f>SUMIFS(各子計畫經費!$L:$L,各子計畫經費!$G:$G,"A",各子計畫經費!$F:$F,"5",各子計畫經費!$E:$E,"108",各子計畫經費!$B:$B,"經")/1000*0.85</f>
        <v>0</v>
      </c>
      <c r="E10" s="35">
        <f>SUMIFS(各子計畫經費!$L:$L,各子計畫經費!$G:$G,"A",各子計畫經費!$F:$F,"5",各子計畫經費!$E:$E,"108",各子計畫經費!$B:$B,"資")/1000*0.7</f>
        <v>0</v>
      </c>
      <c r="F10" s="35">
        <f>SUMIFS(各子計畫經費!$L:$L,各子計畫經費!$G:$G,"A",各子計畫經費!$F:$F,"5",各子計畫經費!$E:$E,"108",各子計畫經費!$B:$B,"經")/1000*0.15</f>
        <v>0</v>
      </c>
      <c r="G10" s="35">
        <f>SUMIFS(各子計畫經費!$L:$L,各子計畫經費!$G:$G,"A",各子計畫經費!$F:$F,"5",各子計畫經費!$E:$E,"108",各子計畫經費!$B:$B,"資")/1000*0.3</f>
        <v>0</v>
      </c>
      <c r="H10" s="35"/>
      <c r="I10" s="35"/>
      <c r="J10" s="35"/>
      <c r="K10" s="35"/>
      <c r="L10" s="42">
        <f t="shared" si="0"/>
        <v>0</v>
      </c>
      <c r="M10" s="43">
        <f t="shared" si="1"/>
        <v>0</v>
      </c>
      <c r="N10" s="44">
        <f t="shared" si="2"/>
        <v>0</v>
      </c>
    </row>
    <row r="11" spans="1:14">
      <c r="A11" s="297"/>
      <c r="B11" s="70" t="s">
        <v>120</v>
      </c>
      <c r="C11" s="203" t="s">
        <v>433</v>
      </c>
      <c r="D11" s="35">
        <f>SUMIFS(各子計畫經費!$L:$L,各子計畫經費!$G:$G,"B",各子計畫經費!$F:$F,"1",各子計畫經費!$E:$E,"108",各子計畫經費!$B:$B,"經")/1000*0.85</f>
        <v>187</v>
      </c>
      <c r="E11" s="35">
        <f>SUMIFS(各子計畫經費!$L:$L,各子計畫經費!$G:$G,"B",各子計畫經費!$F:$F,"1",各子計畫經費!$E:$E,"108",各子計畫經費!$B:$B,"資")/1000*0.85-0.5</f>
        <v>433</v>
      </c>
      <c r="F11" s="35">
        <f>SUMIFS(各子計畫經費!$L:$L,各子計畫經費!$G:$G,"B",各子計畫經費!$F:$F,"1",各子計畫經費!$E:$E,"108",各子計畫經費!$B:$B,"經")/1000*0.15</f>
        <v>33</v>
      </c>
      <c r="G11" s="35">
        <f>SUMIFS(各子計畫經費!$L:$L,各子計畫經費!$G:$G,"B",各子計畫經費!$F:$F,"1",各子計畫經費!$E:$E,"108",各子計畫經費!$B:$B,"資")/1000*0.15+0.5</f>
        <v>77</v>
      </c>
      <c r="H11" s="41"/>
      <c r="I11" s="41"/>
      <c r="J11" s="41"/>
      <c r="K11" s="41"/>
      <c r="L11" s="42">
        <f t="shared" si="0"/>
        <v>220</v>
      </c>
      <c r="M11" s="43">
        <f t="shared" si="1"/>
        <v>510</v>
      </c>
      <c r="N11" s="44">
        <f t="shared" si="2"/>
        <v>730</v>
      </c>
    </row>
    <row r="12" spans="1:14">
      <c r="A12" s="297"/>
      <c r="B12" s="70" t="s">
        <v>230</v>
      </c>
      <c r="C12" s="203" t="s">
        <v>434</v>
      </c>
      <c r="D12" s="35">
        <f>SUMIFS(各子計畫經費!$L:$L,各子計畫經費!$G:$G,"B",各子計畫經費!$F:$F,"2",各子計畫經費!$E:$E,"108",各子計畫經費!$B:$B,"經")/1000*0.85-0.5</f>
        <v>25</v>
      </c>
      <c r="E12" s="35">
        <f>SUMIFS(各子計畫經費!$L:$L,各子計畫經費!$G:$G,"B",各子計畫經費!$F:$F,"2",各子計畫經費!$E:$E,"108",各子計畫經費!$B:$B,"資")/1000*0.7</f>
        <v>0</v>
      </c>
      <c r="F12" s="35">
        <f>SUMIFS(各子計畫經費!$L:$L,各子計畫經費!$G:$G,"B",各子計畫經費!$F:$F,"2",各子計畫經費!$E:$E,"108",各子計畫經費!$B:$B,"經")/1000*0.15+0.5</f>
        <v>5</v>
      </c>
      <c r="G12" s="35">
        <f>SUMIFS(各子計畫經費!$L:$L,各子計畫經費!$G:$G,"B",各子計畫經費!$F:$F,"2",各子計畫經費!$E:$E,"108",各子計畫經費!$B:$B,"資")/1000*0.3</f>
        <v>0</v>
      </c>
      <c r="H12" s="41"/>
      <c r="I12" s="41"/>
      <c r="J12" s="41"/>
      <c r="K12" s="41"/>
      <c r="L12" s="42">
        <f t="shared" si="0"/>
        <v>30</v>
      </c>
      <c r="M12" s="43">
        <f t="shared" si="1"/>
        <v>0</v>
      </c>
      <c r="N12" s="44">
        <f t="shared" si="2"/>
        <v>30</v>
      </c>
    </row>
    <row r="13" spans="1:14">
      <c r="A13" s="297"/>
      <c r="B13" s="70" t="s">
        <v>231</v>
      </c>
      <c r="C13" s="203" t="s">
        <v>4</v>
      </c>
      <c r="D13" s="35">
        <f>SUMIFS(各子計畫經費!$L:$L,各子計畫經費!$G:$G,"B",各子計畫經費!$F:$F,"3",各子計畫經費!$E:$E,"108",各子計畫經費!$B:$B,"經")/1000*0.85</f>
        <v>0</v>
      </c>
      <c r="E13" s="35">
        <f>SUMIFS(各子計畫經費!$L:$L,各子計畫經費!$G:$G,"B",各子計畫經費!$F:$F,"3",各子計畫經費!$E:$E,"108",各子計畫經費!$B:$B,"資")/1000*0.7</f>
        <v>0</v>
      </c>
      <c r="F13" s="35">
        <f>SUMIFS(各子計畫經費!$L:$L,各子計畫經費!$G:$G,"B",各子計畫經費!$F:$F,"3",各子計畫經費!$E:$E,"108",各子計畫經費!$B:$B,"經")/1000*0.15</f>
        <v>0</v>
      </c>
      <c r="G13" s="35">
        <f>SUMIFS(各子計畫經費!$L:$L,各子計畫經費!$G:$G,"B",各子計畫經費!$F:$F,"3",各子計畫經費!$E:$E,"108",各子計畫經費!$B:$B,"資")/1000*0.3</f>
        <v>0</v>
      </c>
      <c r="H13" s="41"/>
      <c r="I13" s="41"/>
      <c r="J13" s="41"/>
      <c r="K13" s="41"/>
      <c r="L13" s="42">
        <f t="shared" si="0"/>
        <v>0</v>
      </c>
      <c r="M13" s="43">
        <f t="shared" si="1"/>
        <v>0</v>
      </c>
      <c r="N13" s="44">
        <f t="shared" si="2"/>
        <v>0</v>
      </c>
    </row>
    <row r="14" spans="1:14">
      <c r="A14" s="297"/>
      <c r="B14" s="70" t="s">
        <v>115</v>
      </c>
      <c r="C14" s="203" t="s">
        <v>435</v>
      </c>
      <c r="D14" s="35">
        <f>SUMIFS(各子計畫經費!$L:$L,各子計畫經費!$G:$G,"C",各子計畫經費!$F:$F,"1",各子計畫經費!$E:$E,"108",各子計畫經費!$B:$B,"經")/1000*0.85</f>
        <v>17</v>
      </c>
      <c r="E14" s="35">
        <f>SUMIFS(各子計畫經費!$L:$L,各子計畫經費!$G:$G,"C",各子計畫經費!$F:$F,"1",各子計畫經費!$E:$E,"108",各子計畫經費!$B:$B,"資")/1000*0.7</f>
        <v>0</v>
      </c>
      <c r="F14" s="35">
        <f>SUMIFS(各子計畫經費!$L:$L,各子計畫經費!$G:$G,"C",各子計畫經費!$F:$F,"1",各子計畫經費!$E:$E,"108",各子計畫經費!$B:$B,"經")/1000*0.15</f>
        <v>3</v>
      </c>
      <c r="G14" s="35">
        <f>SUMIFS(各子計畫經費!$L:$L,各子計畫經費!$G:$G,"C",各子計畫經費!$F:$F,"1",各子計畫經費!$E:$E,"108",各子計畫經費!$B:$B,"資")/1000*0.3</f>
        <v>0</v>
      </c>
      <c r="H14" s="41"/>
      <c r="I14" s="41"/>
      <c r="J14" s="41"/>
      <c r="K14" s="41"/>
      <c r="L14" s="42">
        <f>D14+F14+H14+J14</f>
        <v>20</v>
      </c>
      <c r="M14" s="43">
        <f t="shared" si="1"/>
        <v>0</v>
      </c>
      <c r="N14" s="44">
        <f t="shared" si="2"/>
        <v>20</v>
      </c>
    </row>
    <row r="15" spans="1:14">
      <c r="A15" s="297"/>
      <c r="B15" s="70" t="s">
        <v>116</v>
      </c>
      <c r="C15" s="203" t="s">
        <v>436</v>
      </c>
      <c r="D15" s="35">
        <f>SUMIFS(各子計畫經費!$L:$L,各子計畫經費!$G:$G,"C",各子計畫經費!$F:$F,"2",各子計畫經費!$E:$E,"108",各子計畫經費!$B:$B,"經")/1000*0.85+0.5</f>
        <v>43</v>
      </c>
      <c r="E15" s="35">
        <f>SUMIFS(各子計畫經費!$L:$L,各子計畫經費!$G:$G,"C",各子計畫經費!$F:$F,"2",各子計畫經費!$E:$E,"108",各子計畫經費!$B:$B,"資")/1000*0.7</f>
        <v>0</v>
      </c>
      <c r="F15" s="35">
        <f>SUMIFS(各子計畫經費!$L:$L,各子計畫經費!$G:$G,"C",各子計畫經費!$F:$F,"2",各子計畫經費!$E:$E,"108",各子計畫經費!$B:$B,"經")/1000*0.15-0.5</f>
        <v>7</v>
      </c>
      <c r="G15" s="35">
        <f>SUMIFS(各子計畫經費!$L:$L,各子計畫經費!$G:$G,"C",各子計畫經費!$F:$F,"2",各子計畫經費!$E:$E,"108",各子計畫經費!$B:$B,"資")/1000*0.3</f>
        <v>0</v>
      </c>
      <c r="H15" s="41"/>
      <c r="I15" s="41"/>
      <c r="J15" s="41"/>
      <c r="K15" s="41"/>
      <c r="L15" s="42">
        <f t="shared" si="0"/>
        <v>50</v>
      </c>
      <c r="M15" s="43">
        <f t="shared" si="1"/>
        <v>0</v>
      </c>
      <c r="N15" s="44">
        <f t="shared" si="2"/>
        <v>50</v>
      </c>
    </row>
    <row r="16" spans="1:14">
      <c r="A16" s="297"/>
      <c r="B16" s="70" t="s">
        <v>125</v>
      </c>
      <c r="C16" s="203" t="s">
        <v>437</v>
      </c>
      <c r="D16" s="35">
        <f>SUMIFS(各子計畫經費!$L:$L,各子計畫經費!$G:$G,"C",各子計畫經費!$F:$F,"3",各子計畫經費!$E:$E,"108",各子計畫經費!$B:$B,"經")/1000*0.85</f>
        <v>17</v>
      </c>
      <c r="E16" s="35">
        <f>SUMIFS(各子計畫經費!$L:$L,各子計畫經費!$G:$G,"C",各子計畫經費!$F:$F,"3",各子計畫經費!$E:$E,"108",各子計畫經費!$B:$B,"資")/1000*0.7</f>
        <v>0</v>
      </c>
      <c r="F16" s="35">
        <f>SUMIFS(各子計畫經費!$L:$L,各子計畫經費!$G:$G,"C",各子計畫經費!$F:$F,"3",各子計畫經費!$E:$E,"108",各子計畫經費!$B:$B,"經")/1000*0.15</f>
        <v>3</v>
      </c>
      <c r="G16" s="35">
        <f>SUMIFS(各子計畫經費!$L:$L,各子計畫經費!$G:$G,"C",各子計畫經費!$F:$F,"3",各子計畫經費!$E:$E,"108",各子計畫經費!$B:$B,"資")/1000*0.3</f>
        <v>0</v>
      </c>
      <c r="H16" s="41"/>
      <c r="I16" s="41"/>
      <c r="J16" s="41"/>
      <c r="K16" s="41"/>
      <c r="L16" s="42">
        <f t="shared" si="0"/>
        <v>20</v>
      </c>
      <c r="M16" s="43">
        <f t="shared" si="1"/>
        <v>0</v>
      </c>
      <c r="N16" s="44">
        <f t="shared" si="2"/>
        <v>20</v>
      </c>
    </row>
    <row r="17" spans="1:14">
      <c r="A17" s="297"/>
      <c r="B17" s="70" t="s">
        <v>117</v>
      </c>
      <c r="C17" s="203" t="s">
        <v>439</v>
      </c>
      <c r="D17" s="35">
        <f>SUMIFS(各子計畫經費!$L:$L,各子計畫經費!$G:$G,"D",各子計畫經費!$F:$F,"1",各子計畫經費!$E:$E,"108",各子計畫經費!$B:$B,"經")/1000*0.85</f>
        <v>85</v>
      </c>
      <c r="E17" s="35">
        <f>SUMIFS(各子計畫經費!$L:$L,各子計畫經費!$G:$G,"D",各子計畫經費!$F:$F,"1",各子計畫經費!$E:$E,"108",各子計畫經費!$B:$B,"資")/1000*0.85</f>
        <v>34</v>
      </c>
      <c r="F17" s="35">
        <f>SUMIFS(各子計畫經費!$L:$L,各子計畫經費!$G:$G,"D",各子計畫經費!$F:$F,"1",各子計畫經費!$E:$E,"108",各子計畫經費!$B:$B,"經")/1000*0.15</f>
        <v>15</v>
      </c>
      <c r="G17" s="35">
        <f>SUMIFS(各子計畫經費!$L:$L,各子計畫經費!$G:$G,"D",各子計畫經費!$F:$F,"1",各子計畫經費!$E:$E,"108",各子計畫經費!$B:$B,"資")/1000*0.15</f>
        <v>6</v>
      </c>
      <c r="H17" s="41"/>
      <c r="I17" s="41"/>
      <c r="J17" s="41"/>
      <c r="K17" s="41"/>
      <c r="L17" s="42">
        <f t="shared" si="0"/>
        <v>100</v>
      </c>
      <c r="M17" s="43">
        <f t="shared" si="1"/>
        <v>40</v>
      </c>
      <c r="N17" s="44">
        <f t="shared" si="2"/>
        <v>140</v>
      </c>
    </row>
    <row r="18" spans="1:14" ht="16.8" thickBot="1">
      <c r="A18" s="298"/>
      <c r="B18" s="70" t="s">
        <v>118</v>
      </c>
      <c r="C18" s="203" t="s">
        <v>438</v>
      </c>
      <c r="D18" s="35">
        <f>SUMIFS(各子計畫經費!$L:$L,各子計畫經費!$G:$G,"D",各子計畫經費!$F:$F,"2",各子計畫經費!$E:$E,"108",各子計畫經費!$B:$B,"經")/1000*0.85</f>
        <v>0</v>
      </c>
      <c r="E18" s="35">
        <f>SUMIFS(各子計畫經費!$L:$L,各子計畫經費!$G:$G,"D",各子計畫經費!$F:$F,"2",各子計畫經費!$E:$E,"108",各子計畫經費!$B:$B,"資")/1000*0.7</f>
        <v>0</v>
      </c>
      <c r="F18" s="35">
        <f>SUMIFS(各子計畫經費!$L:$L,各子計畫經費!$G:$G,"D",各子計畫經費!$F:$F,"2",各子計畫經費!$E:$E,"108",各子計畫經費!$B:$B,"經")/1000*0.15</f>
        <v>0</v>
      </c>
      <c r="G18" s="35">
        <f>SUMIFS(各子計畫經費!$L:$L,各子計畫經費!$G:$G,"D",各子計畫經費!$F:$F,"2",各子計畫經費!$E:$E,"108",各子計畫經費!$B:$B,"資")/1000*0.3</f>
        <v>0</v>
      </c>
      <c r="H18" s="37"/>
      <c r="I18" s="36"/>
      <c r="J18" s="37"/>
      <c r="K18" s="36"/>
      <c r="L18" s="42">
        <f>D18+F18+H18+J18</f>
        <v>0</v>
      </c>
      <c r="M18" s="43">
        <f>E18+G18+I18+K18</f>
        <v>0</v>
      </c>
      <c r="N18" s="44">
        <f t="shared" si="2"/>
        <v>0</v>
      </c>
    </row>
    <row r="19" spans="1:14" ht="16.8" thickBot="1">
      <c r="A19" s="323" t="s">
        <v>132</v>
      </c>
      <c r="B19" s="323"/>
      <c r="C19" s="324"/>
      <c r="D19" s="47">
        <f t="shared" ref="D19:M19" si="3">SUM(D6:D18)</f>
        <v>672</v>
      </c>
      <c r="E19" s="48">
        <f t="shared" si="3"/>
        <v>467</v>
      </c>
      <c r="F19" s="49">
        <f t="shared" si="3"/>
        <v>118</v>
      </c>
      <c r="G19" s="48">
        <f t="shared" si="3"/>
        <v>83</v>
      </c>
      <c r="H19" s="49">
        <f t="shared" si="3"/>
        <v>0</v>
      </c>
      <c r="I19" s="48">
        <f t="shared" si="3"/>
        <v>0</v>
      </c>
      <c r="J19" s="49">
        <f t="shared" si="3"/>
        <v>0</v>
      </c>
      <c r="K19" s="48">
        <f t="shared" si="3"/>
        <v>0</v>
      </c>
      <c r="L19" s="49">
        <f t="shared" si="3"/>
        <v>790</v>
      </c>
      <c r="M19" s="50">
        <f t="shared" si="3"/>
        <v>550</v>
      </c>
      <c r="N19" s="48">
        <f>L19+M19</f>
        <v>1340</v>
      </c>
    </row>
    <row r="20" spans="1:14" ht="18" customHeight="1" thickBot="1">
      <c r="A20" s="299" t="s">
        <v>109</v>
      </c>
      <c r="B20" s="71" t="s">
        <v>119</v>
      </c>
      <c r="C20" s="201" t="s">
        <v>432</v>
      </c>
      <c r="D20" s="35">
        <f>SUMIFS(各子計畫經費!$L:$L,各子計畫經費!$G:$G,"A",各子計畫經費!$F:$F,"1",各子計畫經費!$E:$E,"109",各子計畫經費!$B:$B,"經")/1000*0.85</f>
        <v>85</v>
      </c>
      <c r="E20" s="35">
        <f>SUMIFS(各子計畫經費!$L:$L,各子計畫經費!$G:$G,"A",各子計畫經費!$F:$F,"1",各子計畫經費!$E:$E,"109",各子計畫經費!$B:$B,"資")/1000</f>
        <v>0</v>
      </c>
      <c r="F20" s="35">
        <f>SUMIFS(各子計畫經費!$L:$L,各子計畫經費!$G:$G,"A",各子計畫經費!$F:$F,"1",各子計畫經費!$E:$E,"109",各子計畫經費!$B:$B,"經")/1000*0.15</f>
        <v>15</v>
      </c>
      <c r="G20" s="35">
        <f>SUMIFS(各子計畫經費!$L:$L,各子計畫經費!$G:$G,"A",各子計畫經費!$F:$F,"1",各子計畫經費!$E:$E,"109",各子計畫經費!$B:$B,"資")/1000</f>
        <v>0</v>
      </c>
      <c r="H20" s="35"/>
      <c r="I20" s="35"/>
      <c r="J20" s="35"/>
      <c r="K20" s="35"/>
      <c r="L20" s="38">
        <f>D20+F20+H20+J20</f>
        <v>100</v>
      </c>
      <c r="M20" s="39">
        <f t="shared" si="1"/>
        <v>0</v>
      </c>
      <c r="N20" s="40">
        <f t="shared" si="2"/>
        <v>100</v>
      </c>
    </row>
    <row r="21" spans="1:14" ht="18" customHeight="1" thickBot="1">
      <c r="A21" s="297"/>
      <c r="B21" s="71" t="s">
        <v>111</v>
      </c>
      <c r="C21" s="202" t="s">
        <v>4</v>
      </c>
      <c r="D21" s="35">
        <f>SUMIFS(各子計畫經費!$L:$L,各子計畫經費!$G:$G,"A",各子計畫經費!$F:$F,"2",各子計畫經費!$E:$E,"109",各子計畫經費!$B:$B,"經")/1000*0.7</f>
        <v>0</v>
      </c>
      <c r="E21" s="35">
        <f>SUMIFS(各子計畫經費!$L:$L,各子計畫經費!$G:$G,"A",各子計畫經費!$F:$F,"2",各子計畫經費!$E:$E,"109",各子計畫經費!$B:$B,"資")/1000</f>
        <v>0</v>
      </c>
      <c r="F21" s="35">
        <f>SUMIFS(各子計畫經費!$L:$L,各子計畫經費!$G:$G,"A",各子計畫經費!$F:$F,"2",各子計畫經費!$E:$E,"109",各子計畫經費!$B:$B,"經")/1000*0.15</f>
        <v>0</v>
      </c>
      <c r="G21" s="35">
        <f>SUMIFS(各子計畫經費!$L:$L,各子計畫經費!$G:$G,"A",各子計畫經費!$F:$F,"2",各子計畫經費!$E:$E,"109",各子計畫經費!$B:$B,"資")/1000</f>
        <v>0</v>
      </c>
      <c r="H21" s="35"/>
      <c r="I21" s="35"/>
      <c r="J21" s="35"/>
      <c r="K21" s="35"/>
      <c r="L21" s="42">
        <f t="shared" si="0"/>
        <v>0</v>
      </c>
      <c r="M21" s="43">
        <f t="shared" si="1"/>
        <v>0</v>
      </c>
      <c r="N21" s="44">
        <f t="shared" si="2"/>
        <v>0</v>
      </c>
    </row>
    <row r="22" spans="1:14" ht="18" customHeight="1" thickBot="1">
      <c r="A22" s="297"/>
      <c r="B22" s="71" t="s">
        <v>112</v>
      </c>
      <c r="C22" s="202"/>
      <c r="D22" s="35">
        <f>SUMIFS(各子計畫經費!$L:$L,各子計畫經費!$G:$G,"A",各子計畫經費!$F:$F,"3",各子計畫經費!$E:$E,"109",各子計畫經費!$B:$B,"經")/1000*0.7</f>
        <v>0</v>
      </c>
      <c r="E22" s="35">
        <f>SUMIFS(各子計畫經費!$L:$L,各子計畫經費!$G:$G,"A",各子計畫經費!$F:$F,"3",各子計畫經費!$E:$E,"109",各子計畫經費!$B:$B,"資")/1000</f>
        <v>0</v>
      </c>
      <c r="F22" s="35">
        <f>SUMIFS(各子計畫經費!$L:$L,各子計畫經費!$G:$G,"A",各子計畫經費!$F:$F,"3",各子計畫經費!$E:$E,"109",各子計畫經費!$B:$B,"經")/1000*0.15</f>
        <v>0</v>
      </c>
      <c r="G22" s="35">
        <f>SUMIFS(各子計畫經費!$L:$L,各子計畫經費!$G:$G,"A",各子計畫經費!$F:$F,"3",各子計畫經費!$E:$E,"109",各子計畫經費!$B:$B,"資")/1000</f>
        <v>0</v>
      </c>
      <c r="H22" s="35"/>
      <c r="I22" s="35"/>
      <c r="J22" s="35"/>
      <c r="K22" s="35"/>
      <c r="L22" s="42">
        <f t="shared" si="0"/>
        <v>0</v>
      </c>
      <c r="M22" s="43">
        <f t="shared" si="1"/>
        <v>0</v>
      </c>
      <c r="N22" s="44">
        <f t="shared" si="2"/>
        <v>0</v>
      </c>
    </row>
    <row r="23" spans="1:14" ht="18" customHeight="1" thickBot="1">
      <c r="A23" s="297"/>
      <c r="B23" s="71" t="s">
        <v>113</v>
      </c>
      <c r="C23" s="202"/>
      <c r="D23" s="35">
        <f>SUMIFS(各子計畫經費!$L:$L,各子計畫經費!$G:$G,"A",各子計畫經費!$F:$F,"4",各子計畫經費!$E:$E,"109",各子計畫經費!$B:$B,"經")/1000*0.7</f>
        <v>0</v>
      </c>
      <c r="E23" s="35">
        <f>SUMIFS(各子計畫經費!$L:$L,各子計畫經費!$G:$G,"A",各子計畫經費!$F:$F,"4",各子計畫經費!$E:$E,"109",各子計畫經費!$B:$B,"資")/1000</f>
        <v>0</v>
      </c>
      <c r="F23" s="35">
        <f>SUMIFS(各子計畫經費!$L:$L,各子計畫經費!$G:$G,"A",各子計畫經費!$F:$F,"4",各子計畫經費!$E:$E,"109",各子計畫經費!$B:$B,"經")/1000*0.15</f>
        <v>0</v>
      </c>
      <c r="G23" s="35">
        <f>SUMIFS(各子計畫經費!$L:$L,各子計畫經費!$G:$G,"A",各子計畫經費!$F:$F,"4",各子計畫經費!$E:$E,"109",各子計畫經費!$B:$B,"資")/1000</f>
        <v>0</v>
      </c>
      <c r="H23" s="35"/>
      <c r="I23" s="35"/>
      <c r="J23" s="35"/>
      <c r="K23" s="35"/>
      <c r="L23" s="38">
        <f>D23+F23+H23+J23</f>
        <v>0</v>
      </c>
      <c r="M23" s="39">
        <f t="shared" si="1"/>
        <v>0</v>
      </c>
      <c r="N23" s="40">
        <f t="shared" si="2"/>
        <v>0</v>
      </c>
    </row>
    <row r="24" spans="1:14" ht="18" customHeight="1">
      <c r="A24" s="297"/>
      <c r="B24" s="71" t="s">
        <v>114</v>
      </c>
      <c r="C24" s="202"/>
      <c r="D24" s="35">
        <f>SUMIFS(各子計畫經費!$L:$L,各子計畫經費!$G:$G,"A",各子計畫經費!$F:$F,"5",各子計畫經費!$E:$E,"109",各子計畫經費!$B:$B,"經")/1000*0.7</f>
        <v>0</v>
      </c>
      <c r="E24" s="35">
        <f>SUMIFS(各子計畫經費!$L:$L,各子計畫經費!$G:$G,"A",各子計畫經費!$F:$F,"5",各子計畫經費!$E:$E,"109",各子計畫經費!$B:$B,"資")/1000</f>
        <v>0</v>
      </c>
      <c r="F24" s="35">
        <f>SUMIFS(各子計畫經費!$L:$L,各子計畫經費!$G:$G,"A",各子計畫經費!$F:$F,"5",各子計畫經費!$E:$E,"109",各子計畫經費!$B:$B,"經")/1000*0.15</f>
        <v>0</v>
      </c>
      <c r="G24" s="35">
        <f>SUMIFS(各子計畫經費!$L:$L,各子計畫經費!$G:$G,"A",各子計畫經費!$F:$F,"5",各子計畫經費!$E:$E,"109",各子計畫經費!$B:$B,"資")/1000</f>
        <v>0</v>
      </c>
      <c r="H24" s="35"/>
      <c r="I24" s="35"/>
      <c r="J24" s="35"/>
      <c r="K24" s="35"/>
      <c r="L24" s="42">
        <f t="shared" si="0"/>
        <v>0</v>
      </c>
      <c r="M24" s="43">
        <f t="shared" si="1"/>
        <v>0</v>
      </c>
      <c r="N24" s="44">
        <f t="shared" si="2"/>
        <v>0</v>
      </c>
    </row>
    <row r="25" spans="1:14">
      <c r="A25" s="297"/>
      <c r="B25" s="72" t="s">
        <v>120</v>
      </c>
      <c r="C25" s="203" t="s">
        <v>433</v>
      </c>
      <c r="D25" s="35">
        <f>SUMIFS(各子計畫經費!$L:$L,各子計畫經費!$G:$G,"B",各子計畫經費!$F:$F,"1",各子計畫經費!$E:$E,"109",各子計畫經費!$B:$B,"經")/1000*0.85</f>
        <v>187</v>
      </c>
      <c r="E25" s="35">
        <f>SUMIFS(各子計畫經費!$L:$L,各子計畫經費!$G:$G,"B",各子計畫經費!$F:$F,"1",各子計畫經費!$E:$E,"109",各子計畫經費!$B:$B,"資")/1000</f>
        <v>0</v>
      </c>
      <c r="F25" s="35">
        <f>SUMIFS(各子計畫經費!$L:$L,各子計畫經費!$G:$G,"B",各子計畫經費!$F:$F,"1",各子計畫經費!$E:$E,"109",各子計畫經費!$B:$B,"經")/1000*0.15</f>
        <v>33</v>
      </c>
      <c r="G25" s="35">
        <f>SUMIFS(各子計畫經費!$L:$L,各子計畫經費!$G:$G,"B",各子計畫經費!$F:$F,"1",各子計畫經費!$E:$E,"109",各子計畫經費!$B:$B,"資")/1000</f>
        <v>0</v>
      </c>
      <c r="H25" s="41"/>
      <c r="I25" s="41"/>
      <c r="J25" s="41"/>
      <c r="K25" s="41"/>
      <c r="L25" s="42">
        <f t="shared" si="0"/>
        <v>220</v>
      </c>
      <c r="M25" s="43">
        <f t="shared" si="1"/>
        <v>0</v>
      </c>
      <c r="N25" s="44">
        <f t="shared" si="2"/>
        <v>220</v>
      </c>
    </row>
    <row r="26" spans="1:14">
      <c r="A26" s="297"/>
      <c r="B26" s="72" t="s">
        <v>121</v>
      </c>
      <c r="C26" s="203" t="s">
        <v>434</v>
      </c>
      <c r="D26" s="35">
        <f>SUMIFS(各子計畫經費!$L:$L,各子計畫經費!$G:$G,"B",各子計畫經費!$F:$F,"2",各子計畫經費!$E:$E,"109",各子計畫經費!$B:$B,"經")/1000*0.85-0.5</f>
        <v>25</v>
      </c>
      <c r="E26" s="35">
        <f>SUMIFS(各子計畫經費!$L:$L,各子計畫經費!$G:$G,"B",各子計畫經費!$F:$F,"2",各子計畫經費!$E:$E,"109",各子計畫經費!$B:$B,"資")/1000</f>
        <v>0</v>
      </c>
      <c r="F26" s="35">
        <f>SUMIFS(各子計畫經費!$L:$L,各子計畫經費!$G:$G,"B",各子計畫經費!$F:$F,"2",各子計畫經費!$E:$E,"109",各子計畫經費!$B:$B,"經")/1000*0.15+0.5</f>
        <v>5</v>
      </c>
      <c r="G26" s="35">
        <f>SUMIFS(各子計畫經費!$L:$L,各子計畫經費!$G:$G,"B",各子計畫經費!$F:$F,"2",各子計畫經費!$E:$E,"109",各子計畫經費!$B:$B,"資")/1000</f>
        <v>0</v>
      </c>
      <c r="H26" s="41"/>
      <c r="I26" s="41"/>
      <c r="J26" s="41"/>
      <c r="K26" s="41"/>
      <c r="L26" s="42">
        <f>D26+F26+H26+J26</f>
        <v>30</v>
      </c>
      <c r="M26" s="43">
        <f>E26+G26+I26+K26</f>
        <v>0</v>
      </c>
      <c r="N26" s="44">
        <f t="shared" si="2"/>
        <v>30</v>
      </c>
    </row>
    <row r="27" spans="1:14">
      <c r="A27" s="297"/>
      <c r="B27" s="72" t="s">
        <v>122</v>
      </c>
      <c r="C27" s="203" t="s">
        <v>4</v>
      </c>
      <c r="D27" s="35">
        <f>SUMIFS(各子計畫經費!$L:$L,各子計畫經費!$G:$G,"B",各子計畫經費!$F:$F,"3",各子計畫經費!$E:$E,"109",各子計畫經費!$B:$B,"經")/1000*0.7</f>
        <v>0</v>
      </c>
      <c r="E27" s="35">
        <f>SUMIFS(各子計畫經費!$L:$L,各子計畫經費!$G:$G,"B",各子計畫經費!$F:$F,"3",各子計畫經費!$E:$E,"109",各子計畫經費!$B:$B,"資")/1000</f>
        <v>0</v>
      </c>
      <c r="F27" s="35">
        <f>SUMIFS(各子計畫經費!$L:$L,各子計畫經費!$G:$G,"B",各子計畫經費!$F:$F,"3",各子計畫經費!$E:$E,"109",各子計畫經費!$B:$B,"經")/1000*0.15</f>
        <v>0</v>
      </c>
      <c r="G27" s="35">
        <f>SUMIFS(各子計畫經費!$L:$L,各子計畫經費!$G:$G,"B",各子計畫經費!$F:$F,"3",各子計畫經費!$E:$E,"109",各子計畫經費!$B:$B,"資")/1000</f>
        <v>0</v>
      </c>
      <c r="H27" s="41"/>
      <c r="I27" s="41"/>
      <c r="J27" s="41"/>
      <c r="K27" s="41"/>
      <c r="L27" s="42">
        <f t="shared" si="0"/>
        <v>0</v>
      </c>
      <c r="M27" s="43">
        <f t="shared" si="1"/>
        <v>0</v>
      </c>
      <c r="N27" s="44">
        <f t="shared" si="2"/>
        <v>0</v>
      </c>
    </row>
    <row r="28" spans="1:14">
      <c r="A28" s="297"/>
      <c r="B28" s="72" t="s">
        <v>123</v>
      </c>
      <c r="C28" s="203" t="s">
        <v>435</v>
      </c>
      <c r="D28" s="35">
        <f>SUMIFS(各子計畫經費!$L:$L,各子計畫經費!$G:$G,"C",各子計畫經費!$F:$F,"1",各子計畫經費!$E:$E,"109",各子計畫經費!$B:$B,"經")/1000*0.85</f>
        <v>17</v>
      </c>
      <c r="E28" s="35">
        <f>SUMIFS(各子計畫經費!$L:$L,各子計畫經費!$G:$G,"C",各子計畫經費!$F:$F,"1",各子計畫經費!$E:$E,"109",各子計畫經費!$B:$B,"資")/1000</f>
        <v>0</v>
      </c>
      <c r="F28" s="35">
        <f>SUMIFS(各子計畫經費!$L:$L,各子計畫經費!$G:$G,"C",各子計畫經費!$F:$F,"1",各子計畫經費!$E:$E,"109",各子計畫經費!$B:$B,"經")/1000*0.15</f>
        <v>3</v>
      </c>
      <c r="G28" s="35">
        <f>SUMIFS(各子計畫經費!$L:$L,各子計畫經費!$G:$G,"C",各子計畫經費!$F:$F,"1",各子計畫經費!$E:$E,"109",各子計畫經費!$B:$B,"資")/1000</f>
        <v>0</v>
      </c>
      <c r="H28" s="41"/>
      <c r="I28" s="41"/>
      <c r="J28" s="41"/>
      <c r="K28" s="41"/>
      <c r="L28" s="42">
        <f t="shared" si="0"/>
        <v>20</v>
      </c>
      <c r="M28" s="43">
        <f t="shared" si="1"/>
        <v>0</v>
      </c>
      <c r="N28" s="44">
        <f t="shared" si="2"/>
        <v>20</v>
      </c>
    </row>
    <row r="29" spans="1:14">
      <c r="A29" s="297"/>
      <c r="B29" s="72" t="s">
        <v>116</v>
      </c>
      <c r="C29" s="203" t="s">
        <v>436</v>
      </c>
      <c r="D29" s="35">
        <f>SUMIFS(各子計畫經費!$L:$L,各子計畫經費!$G:$G,"C",各子計畫經費!$F:$F,"2",各子計畫經費!$E:$E,"109",各子計畫經費!$B:$B,"經")/1000*0.85+0.5</f>
        <v>43</v>
      </c>
      <c r="E29" s="35">
        <f>SUMIFS(各子計畫經費!$L:$L,各子計畫經費!$G:$G,"C",各子計畫經費!$F:$F,"2",各子計畫經費!$E:$E,"109",各子計畫經費!$B:$B,"資")/1000</f>
        <v>0</v>
      </c>
      <c r="F29" s="35">
        <f>SUMIFS(各子計畫經費!$L:$L,各子計畫經費!$G:$G,"C",各子計畫經費!$F:$F,"2",各子計畫經費!$E:$E,"109",各子計畫經費!$B:$B,"經")/1000*0.15-0.5</f>
        <v>7</v>
      </c>
      <c r="G29" s="35">
        <f>SUMIFS(各子計畫經費!$L:$L,各子計畫經費!$G:$G,"C",各子計畫經費!$F:$F,"2",各子計畫經費!$E:$E,"109",各子計畫經費!$B:$B,"資")/1000</f>
        <v>0</v>
      </c>
      <c r="H29" s="41"/>
      <c r="I29" s="41"/>
      <c r="J29" s="41"/>
      <c r="K29" s="41"/>
      <c r="L29" s="42">
        <f>D29+F29+H29+J29</f>
        <v>50</v>
      </c>
      <c r="M29" s="43">
        <f>E29+G29+I29+K29</f>
        <v>0</v>
      </c>
      <c r="N29" s="44">
        <f t="shared" si="2"/>
        <v>50</v>
      </c>
    </row>
    <row r="30" spans="1:14">
      <c r="A30" s="297"/>
      <c r="B30" s="72" t="s">
        <v>124</v>
      </c>
      <c r="C30" s="203" t="s">
        <v>437</v>
      </c>
      <c r="D30" s="35">
        <f>SUMIFS(各子計畫經費!$L:$L,各子計畫經費!$G:$G,"C",各子計畫經費!$F:$F,"3",各子計畫經費!$E:$E,"109",各子計畫經費!$B:$B,"經")/1000*0.85</f>
        <v>17</v>
      </c>
      <c r="E30" s="35">
        <f>SUMIFS(各子計畫經費!$L:$L,各子計畫經費!$G:$G,"C",各子計畫經費!$F:$F,"3",各子計畫經費!$E:$E,"109",各子計畫經費!$B:$B,"資")/1000</f>
        <v>0</v>
      </c>
      <c r="F30" s="35">
        <f>SUMIFS(各子計畫經費!$L:$L,各子計畫經費!$G:$G,"C",各子計畫經費!$F:$F,"3",各子計畫經費!$E:$E,"109",各子計畫經費!$B:$B,"經")/1000*0.15</f>
        <v>3</v>
      </c>
      <c r="G30" s="35">
        <f>SUMIFS(各子計畫經費!$L:$L,各子計畫經費!$G:$G,"C",各子計畫經費!$F:$F,"3",各子計畫經費!$E:$E,"109",各子計畫經費!$B:$B,"資")/1000</f>
        <v>0</v>
      </c>
      <c r="H30" s="41"/>
      <c r="I30" s="41"/>
      <c r="J30" s="41"/>
      <c r="K30" s="41"/>
      <c r="L30" s="42">
        <f>D30+F30+H30+J30</f>
        <v>20</v>
      </c>
      <c r="M30" s="43">
        <f t="shared" si="1"/>
        <v>0</v>
      </c>
      <c r="N30" s="44">
        <f t="shared" si="2"/>
        <v>20</v>
      </c>
    </row>
    <row r="31" spans="1:14">
      <c r="A31" s="297"/>
      <c r="B31" s="72" t="s">
        <v>133</v>
      </c>
      <c r="C31" s="203" t="s">
        <v>439</v>
      </c>
      <c r="D31" s="35">
        <f>SUMIFS(各子計畫經費!$L:$L,各子計畫經費!$G:$G,"D",各子計畫經費!$F:$F,"1",各子計畫經費!$E:$E,"109",各子計畫經費!$B:$B,"經")/1000*0.7</f>
        <v>0</v>
      </c>
      <c r="E31" s="35">
        <f>SUMIFS(各子計畫經費!$L:$L,各子計畫經費!$G:$G,"D",各子計畫經費!$F:$F,"1",各子計畫經費!$E:$E,"109",各子計畫經費!$B:$B,"資")/1000</f>
        <v>0</v>
      </c>
      <c r="F31" s="35">
        <f>SUMIFS(各子計畫經費!$L:$L,各子計畫經費!$G:$G,"D",各子計畫經費!$F:$F,"1",各子計畫經費!$E:$E,"109",各子計畫經費!$B:$B,"經")/1000*0.15</f>
        <v>0</v>
      </c>
      <c r="G31" s="35">
        <f>SUMIFS(各子計畫經費!$L:$L,各子計畫經費!$G:$G,"D",各子計畫經費!$F:$F,"1",各子計畫經費!$E:$E,"109",各子計畫經費!$B:$B,"資")/1000</f>
        <v>0</v>
      </c>
      <c r="H31" s="41"/>
      <c r="I31" s="41"/>
      <c r="J31" s="41"/>
      <c r="K31" s="41"/>
      <c r="L31" s="42">
        <f t="shared" si="0"/>
        <v>0</v>
      </c>
      <c r="M31" s="43">
        <f t="shared" si="1"/>
        <v>0</v>
      </c>
      <c r="N31" s="44">
        <f t="shared" si="2"/>
        <v>0</v>
      </c>
    </row>
    <row r="32" spans="1:14" ht="16.8" thickBot="1">
      <c r="A32" s="298"/>
      <c r="B32" s="72" t="s">
        <v>134</v>
      </c>
      <c r="C32" s="203" t="s">
        <v>438</v>
      </c>
      <c r="D32" s="35">
        <f>SUMIFS(各子計畫經費!$L:$L,各子計畫經費!$G:$G,"D",各子計畫經費!$F:$F,"2",各子計畫經費!$E:$E,"109",各子計畫經費!$B:$B,"經")/1000*0.85</f>
        <v>187</v>
      </c>
      <c r="E32" s="35">
        <f>SUMIFS(各子計畫經費!$L:$L,各子計畫經費!$G:$G,"D",各子計畫經費!$F:$F,"2",各子計畫經費!$E:$E,"109",各子計畫經費!$B:$B,"資")/1000</f>
        <v>0</v>
      </c>
      <c r="F32" s="35">
        <f>SUMIFS(各子計畫經費!$L:$L,各子計畫經費!$G:$G,"D",各子計畫經費!$F:$F,"2",各子計畫經費!$E:$E,"109",各子計畫經費!$B:$B,"經")/1000*0.15</f>
        <v>33</v>
      </c>
      <c r="G32" s="35">
        <f>SUMIFS(各子計畫經費!$L:$L,各子計畫經費!$G:$G,"D",各子計畫經費!$F:$F,"2",各子計畫經費!$E:$E,"109",各子計畫經費!$B:$B,"資")/1000</f>
        <v>0</v>
      </c>
      <c r="H32" s="37"/>
      <c r="I32" s="36"/>
      <c r="J32" s="37"/>
      <c r="K32" s="36"/>
      <c r="L32" s="42">
        <f>D32+F32+H32+J32</f>
        <v>220</v>
      </c>
      <c r="M32" s="43">
        <f t="shared" si="1"/>
        <v>0</v>
      </c>
      <c r="N32" s="44">
        <f t="shared" si="2"/>
        <v>220</v>
      </c>
    </row>
    <row r="33" spans="1:14" ht="16.8" thickBot="1">
      <c r="A33" s="313" t="s">
        <v>106</v>
      </c>
      <c r="B33" s="313"/>
      <c r="C33" s="314"/>
      <c r="D33" s="47">
        <f t="shared" ref="D33:M33" si="4">SUM(D20:D32)</f>
        <v>561</v>
      </c>
      <c r="E33" s="48">
        <f t="shared" si="4"/>
        <v>0</v>
      </c>
      <c r="F33" s="49">
        <f t="shared" si="4"/>
        <v>99</v>
      </c>
      <c r="G33" s="48">
        <f t="shared" si="4"/>
        <v>0</v>
      </c>
      <c r="H33" s="49">
        <f t="shared" si="4"/>
        <v>0</v>
      </c>
      <c r="I33" s="48">
        <f t="shared" si="4"/>
        <v>0</v>
      </c>
      <c r="J33" s="49">
        <f t="shared" si="4"/>
        <v>0</v>
      </c>
      <c r="K33" s="51">
        <f t="shared" si="4"/>
        <v>0</v>
      </c>
      <c r="L33" s="49">
        <f t="shared" si="4"/>
        <v>660</v>
      </c>
      <c r="M33" s="50">
        <f t="shared" si="4"/>
        <v>0</v>
      </c>
      <c r="N33" s="48">
        <f>L33+M33</f>
        <v>660</v>
      </c>
    </row>
    <row r="34" spans="1:14" ht="16.8" thickBot="1">
      <c r="A34" s="331" t="s">
        <v>107</v>
      </c>
      <c r="B34" s="321"/>
      <c r="C34" s="322"/>
      <c r="D34" s="52">
        <f t="shared" ref="D34:N34" si="5">D19+D33</f>
        <v>1233</v>
      </c>
      <c r="E34" s="53">
        <f t="shared" si="5"/>
        <v>467</v>
      </c>
      <c r="F34" s="54">
        <f t="shared" si="5"/>
        <v>217</v>
      </c>
      <c r="G34" s="53">
        <f t="shared" si="5"/>
        <v>83</v>
      </c>
      <c r="H34" s="54">
        <f t="shared" si="5"/>
        <v>0</v>
      </c>
      <c r="I34" s="53">
        <f t="shared" si="5"/>
        <v>0</v>
      </c>
      <c r="J34" s="54">
        <f t="shared" si="5"/>
        <v>0</v>
      </c>
      <c r="K34" s="55">
        <f t="shared" si="5"/>
        <v>0</v>
      </c>
      <c r="L34" s="54">
        <f t="shared" si="5"/>
        <v>1450</v>
      </c>
      <c r="M34" s="56">
        <f t="shared" si="5"/>
        <v>550</v>
      </c>
      <c r="N34" s="53">
        <f t="shared" si="5"/>
        <v>2000</v>
      </c>
    </row>
    <row r="35" spans="1:14" ht="16.8" thickBot="1">
      <c r="A35" s="321" t="s">
        <v>11</v>
      </c>
      <c r="B35" s="321"/>
      <c r="C35" s="322"/>
      <c r="D35" s="315"/>
      <c r="E35" s="316"/>
      <c r="F35" s="316"/>
      <c r="G35" s="316"/>
      <c r="H35" s="316"/>
      <c r="I35" s="316"/>
      <c r="J35" s="316"/>
      <c r="K35" s="317"/>
      <c r="L35" s="67">
        <f>L34/N34</f>
        <v>0.72499999999999998</v>
      </c>
      <c r="M35" s="68">
        <f>M34/N34</f>
        <v>0.27500000000000002</v>
      </c>
      <c r="N35" s="73"/>
    </row>
    <row r="36" spans="1:14" ht="18" customHeight="1">
      <c r="A36" s="83" t="s">
        <v>95</v>
      </c>
      <c r="B36" s="84"/>
      <c r="C36" s="84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/>
    </row>
    <row r="37" spans="1:14" ht="10.5" customHeight="1">
      <c r="A37" s="83" t="s">
        <v>96</v>
      </c>
      <c r="B37" s="84"/>
      <c r="C37" s="84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/>
    </row>
    <row r="38" spans="1:14" ht="15" customHeight="1">
      <c r="A38" s="83" t="s">
        <v>97</v>
      </c>
      <c r="B38" s="84"/>
      <c r="C38" s="84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/>
    </row>
    <row r="39" spans="1:14">
      <c r="A39" s="84"/>
      <c r="B39" s="83" t="s">
        <v>98</v>
      </c>
      <c r="C39" s="85"/>
      <c r="D39" s="2"/>
      <c r="F39" s="2"/>
      <c r="G39" s="2"/>
      <c r="I39" s="17"/>
      <c r="J39" s="17"/>
      <c r="K39"/>
      <c r="L39"/>
      <c r="M39"/>
      <c r="N39"/>
    </row>
    <row r="40" spans="1:14" ht="11.25" customHeight="1">
      <c r="A40" s="86"/>
      <c r="B40" s="87" t="s">
        <v>99</v>
      </c>
      <c r="C40" s="84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/>
    </row>
    <row r="41" spans="1:14" s="206" customFormat="1" ht="22.2">
      <c r="A41" s="250"/>
      <c r="B41" s="251" t="s">
        <v>444</v>
      </c>
      <c r="C41" s="251"/>
      <c r="D41" s="251" t="s">
        <v>441</v>
      </c>
      <c r="F41" s="252"/>
      <c r="G41" s="251"/>
      <c r="H41" s="252" t="s">
        <v>442</v>
      </c>
      <c r="J41" s="253"/>
      <c r="K41" s="253"/>
      <c r="L41" s="251" t="s">
        <v>443</v>
      </c>
    </row>
    <row r="42" spans="1:14">
      <c r="A42"/>
      <c r="B42"/>
      <c r="C42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>
      <c r="A43"/>
      <c r="B43"/>
      <c r="C43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14">
      <c r="A44"/>
      <c r="B44"/>
      <c r="C44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  <row r="45" spans="1:14">
      <c r="A45"/>
      <c r="B45"/>
      <c r="C45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1:14">
      <c r="A46"/>
      <c r="B46"/>
      <c r="C46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</row>
    <row r="47" spans="1:14">
      <c r="A47"/>
      <c r="B47"/>
      <c r="C4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>
      <c r="A48"/>
      <c r="B48"/>
      <c r="C48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1:14">
      <c r="A49"/>
      <c r="B49"/>
      <c r="C49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1:14">
      <c r="A50"/>
      <c r="B50"/>
      <c r="C50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1:14">
      <c r="A51"/>
      <c r="B51"/>
      <c r="C51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>
      <c r="A52"/>
      <c r="B52"/>
      <c r="C52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1:14" ht="17.25" customHeight="1">
      <c r="A53"/>
      <c r="B53"/>
      <c r="C53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</sheetData>
  <mergeCells count="17">
    <mergeCell ref="A33:C33"/>
    <mergeCell ref="D35:K35"/>
    <mergeCell ref="B3:B5"/>
    <mergeCell ref="A35:C35"/>
    <mergeCell ref="A19:C19"/>
    <mergeCell ref="D3:K3"/>
    <mergeCell ref="H4:I4"/>
    <mergeCell ref="A3:A5"/>
    <mergeCell ref="A34:C34"/>
    <mergeCell ref="J4:K4"/>
    <mergeCell ref="A1:N1"/>
    <mergeCell ref="A6:A18"/>
    <mergeCell ref="A20:A32"/>
    <mergeCell ref="C3:C5"/>
    <mergeCell ref="L3:N4"/>
    <mergeCell ref="D4:E4"/>
    <mergeCell ref="F4:G4"/>
  </mergeCells>
  <phoneticPr fontId="1" type="noConversion"/>
  <printOptions horizontalCentered="1" verticalCentered="1"/>
  <pageMargins left="0" right="0" top="0.15748031496062992" bottom="0.15748031496062992" header="0.15748031496062992" footer="0.15748031496062992"/>
  <pageSetup paperSize="9" scale="75" orientation="landscape" r:id="rId1"/>
  <headerFooter alignWithMargins="0">
    <oddFooter>第 &amp;P 頁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view="pageBreakPreview" zoomScale="85" zoomScaleNormal="100" zoomScaleSheetLayoutView="85" workbookViewId="0">
      <pane xSplit="1" ySplit="7" topLeftCell="B15" activePane="bottomRight" state="frozen"/>
      <selection pane="topRight" activeCell="B1" sqref="B1"/>
      <selection pane="bottomLeft" activeCell="A8" sqref="A8"/>
      <selection pane="bottomRight" activeCell="C26" sqref="C26"/>
    </sheetView>
  </sheetViews>
  <sheetFormatPr defaultRowHeight="16.2"/>
  <cols>
    <col min="1" max="1" width="8" customWidth="1"/>
    <col min="2" max="2" width="22.109375" customWidth="1"/>
    <col min="3" max="3" width="5.109375" customWidth="1"/>
    <col min="4" max="4" width="6.88671875" customWidth="1"/>
    <col min="5" max="5" width="9.33203125" customWidth="1"/>
    <col min="6" max="6" width="9.88671875" style="17" bestFit="1" customWidth="1"/>
    <col min="7" max="7" width="55.33203125" customWidth="1"/>
    <col min="8" max="8" width="6.109375" customWidth="1"/>
    <col min="9" max="9" width="15.88671875" customWidth="1"/>
    <col min="10" max="10" width="12.33203125" customWidth="1"/>
    <col min="11" max="11" width="24.44140625" customWidth="1"/>
  </cols>
  <sheetData>
    <row r="1" spans="1:8" ht="22.2">
      <c r="A1" s="332" t="s">
        <v>318</v>
      </c>
      <c r="B1" s="295"/>
      <c r="C1" s="295"/>
      <c r="D1" s="295"/>
      <c r="E1" s="295"/>
      <c r="F1" s="295"/>
      <c r="G1" s="295"/>
    </row>
    <row r="3" spans="1:8">
      <c r="A3" s="350" t="s">
        <v>57</v>
      </c>
      <c r="B3" s="351"/>
    </row>
    <row r="4" spans="1:8">
      <c r="A4" s="18" t="s">
        <v>353</v>
      </c>
      <c r="G4" s="347" t="s">
        <v>3</v>
      </c>
      <c r="H4" s="347"/>
    </row>
    <row r="5" spans="1:8" ht="16.8" thickBot="1">
      <c r="A5" s="353" t="s">
        <v>126</v>
      </c>
      <c r="B5" s="354"/>
      <c r="C5" s="354"/>
      <c r="D5" s="354"/>
      <c r="E5" s="354"/>
      <c r="F5" s="354"/>
      <c r="G5" s="354"/>
      <c r="H5" s="88"/>
    </row>
    <row r="6" spans="1:8" ht="31.5" customHeight="1">
      <c r="A6" s="334" t="s">
        <v>32</v>
      </c>
      <c r="B6" s="335"/>
      <c r="C6" s="94" t="s">
        <v>5</v>
      </c>
      <c r="D6" s="94" t="s">
        <v>6</v>
      </c>
      <c r="E6" s="95" t="s">
        <v>7</v>
      </c>
      <c r="F6" s="96" t="s">
        <v>8</v>
      </c>
      <c r="G6" s="97" t="s">
        <v>9</v>
      </c>
      <c r="H6" s="101" t="s">
        <v>102</v>
      </c>
    </row>
    <row r="7" spans="1:8" ht="24" customHeight="1">
      <c r="A7" s="346" t="s">
        <v>87</v>
      </c>
      <c r="B7" s="346"/>
      <c r="C7" s="346"/>
      <c r="D7" s="346"/>
      <c r="E7" s="346"/>
      <c r="F7" s="346"/>
      <c r="G7" s="346"/>
      <c r="H7" s="346"/>
    </row>
    <row r="8" spans="1:8" ht="74.400000000000006" customHeight="1">
      <c r="A8" s="336" t="s">
        <v>10</v>
      </c>
      <c r="B8" s="76" t="s">
        <v>197</v>
      </c>
      <c r="C8" s="75" t="s">
        <v>136</v>
      </c>
      <c r="D8" s="75">
        <v>14</v>
      </c>
      <c r="E8" s="194">
        <v>2</v>
      </c>
      <c r="F8" s="195">
        <f>D8*E8</f>
        <v>28</v>
      </c>
      <c r="G8" s="192" t="s">
        <v>342</v>
      </c>
      <c r="H8" s="98"/>
    </row>
    <row r="9" spans="1:8" ht="98.4" customHeight="1">
      <c r="A9" s="336"/>
      <c r="B9" s="76" t="s">
        <v>138</v>
      </c>
      <c r="C9" s="20" t="s">
        <v>136</v>
      </c>
      <c r="D9" s="20">
        <v>30</v>
      </c>
      <c r="E9" s="196">
        <v>0.4</v>
      </c>
      <c r="F9" s="195">
        <f t="shared" ref="F9:F36" si="0">D9*E9</f>
        <v>12</v>
      </c>
      <c r="G9" s="193" t="s">
        <v>320</v>
      </c>
      <c r="H9" s="93"/>
    </row>
    <row r="10" spans="1:8" ht="47.4" customHeight="1">
      <c r="A10" s="336"/>
      <c r="B10" s="76" t="s">
        <v>138</v>
      </c>
      <c r="C10" s="20" t="s">
        <v>136</v>
      </c>
      <c r="D10" s="20">
        <v>40</v>
      </c>
      <c r="E10" s="196">
        <v>0.55000000000000004</v>
      </c>
      <c r="F10" s="195">
        <f t="shared" si="0"/>
        <v>22</v>
      </c>
      <c r="G10" s="193" t="s">
        <v>321</v>
      </c>
      <c r="H10" s="93"/>
    </row>
    <row r="11" spans="1:8" ht="54" customHeight="1">
      <c r="A11" s="336"/>
      <c r="B11" s="76" t="s">
        <v>141</v>
      </c>
      <c r="C11" s="20" t="s">
        <v>344</v>
      </c>
      <c r="D11" s="20">
        <v>30</v>
      </c>
      <c r="E11" s="196">
        <v>0.09</v>
      </c>
      <c r="F11" s="195">
        <f t="shared" si="0"/>
        <v>2.6999999999999997</v>
      </c>
      <c r="G11" s="193" t="s">
        <v>322</v>
      </c>
      <c r="H11" s="93"/>
    </row>
    <row r="12" spans="1:8" ht="44.4" customHeight="1">
      <c r="A12" s="336"/>
      <c r="B12" s="76" t="s">
        <v>143</v>
      </c>
      <c r="C12" s="20" t="s">
        <v>140</v>
      </c>
      <c r="D12" s="20">
        <v>2</v>
      </c>
      <c r="E12" s="196">
        <v>0.32</v>
      </c>
      <c r="F12" s="195">
        <f t="shared" si="0"/>
        <v>0.64</v>
      </c>
      <c r="G12" s="193" t="s">
        <v>323</v>
      </c>
      <c r="H12" s="93"/>
    </row>
    <row r="13" spans="1:8" ht="44.4" customHeight="1">
      <c r="A13" s="336"/>
      <c r="B13" s="76" t="s">
        <v>144</v>
      </c>
      <c r="C13" s="20" t="s">
        <v>145</v>
      </c>
      <c r="D13" s="20">
        <v>31</v>
      </c>
      <c r="E13" s="196">
        <v>0.08</v>
      </c>
      <c r="F13" s="195">
        <f t="shared" si="0"/>
        <v>2.48</v>
      </c>
      <c r="G13" s="193" t="s">
        <v>347</v>
      </c>
      <c r="H13" s="93"/>
    </row>
    <row r="14" spans="1:8" ht="69" customHeight="1">
      <c r="A14" s="336"/>
      <c r="B14" s="76" t="s">
        <v>146</v>
      </c>
      <c r="C14" s="20" t="s">
        <v>147</v>
      </c>
      <c r="D14" s="20">
        <v>4</v>
      </c>
      <c r="E14" s="196">
        <v>12</v>
      </c>
      <c r="F14" s="195">
        <f t="shared" si="0"/>
        <v>48</v>
      </c>
      <c r="G14" s="193" t="s">
        <v>345</v>
      </c>
      <c r="H14" s="93"/>
    </row>
    <row r="15" spans="1:8" ht="88.8" customHeight="1">
      <c r="A15" s="336"/>
      <c r="B15" s="76" t="s">
        <v>148</v>
      </c>
      <c r="C15" s="20" t="s">
        <v>140</v>
      </c>
      <c r="D15" s="20">
        <v>240</v>
      </c>
      <c r="E15" s="196">
        <v>0.2</v>
      </c>
      <c r="F15" s="195">
        <f t="shared" si="0"/>
        <v>48</v>
      </c>
      <c r="G15" s="193" t="s">
        <v>346</v>
      </c>
      <c r="H15" s="93"/>
    </row>
    <row r="16" spans="1:8" ht="30.6" customHeight="1">
      <c r="A16" s="336"/>
      <c r="B16" s="76" t="s">
        <v>149</v>
      </c>
      <c r="C16" s="20" t="s">
        <v>325</v>
      </c>
      <c r="D16" s="20">
        <v>1</v>
      </c>
      <c r="E16" s="196">
        <v>5</v>
      </c>
      <c r="F16" s="195">
        <f t="shared" si="0"/>
        <v>5</v>
      </c>
      <c r="G16" s="193" t="s">
        <v>326</v>
      </c>
      <c r="H16" s="93"/>
    </row>
    <row r="17" spans="1:8" ht="30.6" customHeight="1">
      <c r="A17" s="336"/>
      <c r="B17" s="76" t="s">
        <v>149</v>
      </c>
      <c r="C17" s="20" t="s">
        <v>325</v>
      </c>
      <c r="D17" s="20">
        <v>1</v>
      </c>
      <c r="E17" s="196">
        <v>2</v>
      </c>
      <c r="F17" s="195">
        <f t="shared" si="0"/>
        <v>2</v>
      </c>
      <c r="G17" s="193" t="s">
        <v>327</v>
      </c>
      <c r="H17" s="93"/>
    </row>
    <row r="18" spans="1:8" ht="30.6" customHeight="1">
      <c r="A18" s="336"/>
      <c r="B18" s="76" t="s">
        <v>149</v>
      </c>
      <c r="C18" s="20" t="s">
        <v>325</v>
      </c>
      <c r="D18" s="20">
        <v>1</v>
      </c>
      <c r="E18" s="196">
        <v>1</v>
      </c>
      <c r="F18" s="195">
        <f t="shared" si="0"/>
        <v>1</v>
      </c>
      <c r="G18" s="193" t="s">
        <v>348</v>
      </c>
      <c r="H18" s="93"/>
    </row>
    <row r="19" spans="1:8" ht="30.6" customHeight="1">
      <c r="A19" s="336"/>
      <c r="B19" s="76" t="s">
        <v>149</v>
      </c>
      <c r="C19" s="20" t="s">
        <v>325</v>
      </c>
      <c r="D19" s="20">
        <v>1</v>
      </c>
      <c r="E19" s="196">
        <v>4</v>
      </c>
      <c r="F19" s="195">
        <f t="shared" si="0"/>
        <v>4</v>
      </c>
      <c r="G19" s="193" t="s">
        <v>349</v>
      </c>
      <c r="H19" s="93"/>
    </row>
    <row r="20" spans="1:8" ht="30.6" customHeight="1">
      <c r="A20" s="336"/>
      <c r="B20" s="76" t="s">
        <v>149</v>
      </c>
      <c r="C20" s="20" t="s">
        <v>325</v>
      </c>
      <c r="D20" s="20">
        <v>2</v>
      </c>
      <c r="E20" s="196">
        <v>3.5</v>
      </c>
      <c r="F20" s="195">
        <f t="shared" si="0"/>
        <v>7</v>
      </c>
      <c r="G20" s="193" t="s">
        <v>328</v>
      </c>
      <c r="H20" s="93"/>
    </row>
    <row r="21" spans="1:8" ht="30.6" customHeight="1">
      <c r="A21" s="336"/>
      <c r="B21" s="76" t="s">
        <v>149</v>
      </c>
      <c r="C21" s="20" t="s">
        <v>325</v>
      </c>
      <c r="D21" s="20">
        <v>2</v>
      </c>
      <c r="E21" s="196">
        <v>5</v>
      </c>
      <c r="F21" s="195">
        <f t="shared" si="0"/>
        <v>10</v>
      </c>
      <c r="G21" s="193" t="s">
        <v>350</v>
      </c>
      <c r="H21" s="93"/>
    </row>
    <row r="22" spans="1:8" ht="30.6" customHeight="1">
      <c r="A22" s="336"/>
      <c r="B22" s="76" t="s">
        <v>149</v>
      </c>
      <c r="C22" s="20" t="s">
        <v>325</v>
      </c>
      <c r="D22" s="20">
        <v>6</v>
      </c>
      <c r="E22" s="196">
        <v>0.3</v>
      </c>
      <c r="F22" s="195">
        <f t="shared" si="0"/>
        <v>1.7999999999999998</v>
      </c>
      <c r="G22" s="193" t="s">
        <v>329</v>
      </c>
      <c r="H22" s="93"/>
    </row>
    <row r="23" spans="1:8" ht="30.6" customHeight="1">
      <c r="A23" s="336"/>
      <c r="B23" s="76" t="s">
        <v>149</v>
      </c>
      <c r="C23" s="20" t="s">
        <v>330</v>
      </c>
      <c r="D23" s="20">
        <v>6</v>
      </c>
      <c r="E23" s="196">
        <v>1</v>
      </c>
      <c r="F23" s="195">
        <f t="shared" si="0"/>
        <v>6</v>
      </c>
      <c r="G23" s="193" t="s">
        <v>331</v>
      </c>
      <c r="H23" s="93"/>
    </row>
    <row r="24" spans="1:8" ht="30.6" customHeight="1">
      <c r="A24" s="336"/>
      <c r="B24" s="76" t="s">
        <v>149</v>
      </c>
      <c r="C24" s="20" t="s">
        <v>332</v>
      </c>
      <c r="D24" s="20">
        <v>6</v>
      </c>
      <c r="E24" s="196">
        <v>0.5</v>
      </c>
      <c r="F24" s="195">
        <f t="shared" si="0"/>
        <v>3</v>
      </c>
      <c r="G24" s="193" t="s">
        <v>333</v>
      </c>
      <c r="H24" s="93"/>
    </row>
    <row r="25" spans="1:8" ht="30.6" customHeight="1">
      <c r="A25" s="336"/>
      <c r="B25" s="76" t="s">
        <v>149</v>
      </c>
      <c r="C25" s="20" t="s">
        <v>330</v>
      </c>
      <c r="D25" s="20">
        <v>6</v>
      </c>
      <c r="E25" s="196">
        <v>0.3</v>
      </c>
      <c r="F25" s="195">
        <f t="shared" si="0"/>
        <v>1.7999999999999998</v>
      </c>
      <c r="G25" s="193" t="s">
        <v>334</v>
      </c>
      <c r="H25" s="93"/>
    </row>
    <row r="26" spans="1:8" ht="30.6" customHeight="1">
      <c r="A26" s="336"/>
      <c r="B26" s="76" t="s">
        <v>149</v>
      </c>
      <c r="C26" s="20" t="s">
        <v>325</v>
      </c>
      <c r="D26" s="20">
        <v>6</v>
      </c>
      <c r="E26" s="196">
        <v>0.3</v>
      </c>
      <c r="F26" s="195">
        <f t="shared" si="0"/>
        <v>1.7999999999999998</v>
      </c>
      <c r="G26" s="193" t="s">
        <v>335</v>
      </c>
      <c r="H26" s="93"/>
    </row>
    <row r="27" spans="1:8" ht="25.2" customHeight="1">
      <c r="A27" s="336"/>
      <c r="B27" s="76" t="s">
        <v>149</v>
      </c>
      <c r="C27" s="20" t="s">
        <v>325</v>
      </c>
      <c r="D27" s="20">
        <v>6</v>
      </c>
      <c r="E27" s="196">
        <v>3</v>
      </c>
      <c r="F27" s="195">
        <f t="shared" si="0"/>
        <v>18</v>
      </c>
      <c r="G27" s="193" t="s">
        <v>336</v>
      </c>
      <c r="H27" s="93"/>
    </row>
    <row r="28" spans="1:8" ht="30.6" customHeight="1">
      <c r="A28" s="336"/>
      <c r="B28" s="76" t="s">
        <v>149</v>
      </c>
      <c r="C28" s="20" t="s">
        <v>325</v>
      </c>
      <c r="D28" s="20">
        <v>6</v>
      </c>
      <c r="E28" s="196">
        <v>3</v>
      </c>
      <c r="F28" s="195">
        <f t="shared" si="0"/>
        <v>18</v>
      </c>
      <c r="G28" s="193" t="s">
        <v>354</v>
      </c>
      <c r="H28" s="93"/>
    </row>
    <row r="29" spans="1:8" ht="30.6" customHeight="1">
      <c r="A29" s="336"/>
      <c r="B29" s="76" t="s">
        <v>149</v>
      </c>
      <c r="C29" s="20" t="s">
        <v>325</v>
      </c>
      <c r="D29" s="20">
        <v>6</v>
      </c>
      <c r="E29" s="196">
        <v>3</v>
      </c>
      <c r="F29" s="195">
        <f t="shared" si="0"/>
        <v>18</v>
      </c>
      <c r="G29" s="193" t="s">
        <v>337</v>
      </c>
      <c r="H29" s="93"/>
    </row>
    <row r="30" spans="1:8" ht="54" customHeight="1">
      <c r="A30" s="336"/>
      <c r="B30" s="76" t="s">
        <v>149</v>
      </c>
      <c r="C30" s="20" t="s">
        <v>205</v>
      </c>
      <c r="D30" s="20">
        <v>37</v>
      </c>
      <c r="E30" s="196">
        <v>2</v>
      </c>
      <c r="F30" s="195">
        <f t="shared" si="0"/>
        <v>74</v>
      </c>
      <c r="G30" s="193" t="s">
        <v>351</v>
      </c>
      <c r="H30" s="93"/>
    </row>
    <row r="31" spans="1:8" ht="44.4" customHeight="1">
      <c r="A31" s="336"/>
      <c r="B31" s="76" t="s">
        <v>150</v>
      </c>
      <c r="C31" s="20" t="s">
        <v>461</v>
      </c>
      <c r="D31" s="20">
        <v>60</v>
      </c>
      <c r="E31" s="196">
        <v>0.03</v>
      </c>
      <c r="F31" s="195">
        <f t="shared" si="0"/>
        <v>1.7999999999999998</v>
      </c>
      <c r="G31" s="193" t="s">
        <v>338</v>
      </c>
      <c r="H31" s="93"/>
    </row>
    <row r="32" spans="1:8" ht="44.4" customHeight="1">
      <c r="A32" s="336"/>
      <c r="B32" s="76" t="s">
        <v>150</v>
      </c>
      <c r="C32" s="20" t="s">
        <v>460</v>
      </c>
      <c r="D32" s="20">
        <v>75</v>
      </c>
      <c r="E32" s="196">
        <v>0.03</v>
      </c>
      <c r="F32" s="195">
        <f t="shared" si="0"/>
        <v>2.25</v>
      </c>
      <c r="G32" s="193" t="s">
        <v>339</v>
      </c>
      <c r="H32" s="93"/>
    </row>
    <row r="33" spans="1:8" ht="44.4" customHeight="1">
      <c r="A33" s="336"/>
      <c r="B33" s="76" t="s">
        <v>151</v>
      </c>
      <c r="C33" s="20" t="s">
        <v>156</v>
      </c>
      <c r="D33" s="20">
        <v>1</v>
      </c>
      <c r="E33" s="196">
        <v>3</v>
      </c>
      <c r="F33" s="195">
        <f t="shared" si="0"/>
        <v>3</v>
      </c>
      <c r="G33" s="193" t="s">
        <v>474</v>
      </c>
      <c r="H33" s="93"/>
    </row>
    <row r="34" spans="1:8" ht="44.4" customHeight="1">
      <c r="A34" s="336"/>
      <c r="B34" s="76" t="s">
        <v>152</v>
      </c>
      <c r="C34" s="20" t="s">
        <v>153</v>
      </c>
      <c r="D34" s="20">
        <v>4</v>
      </c>
      <c r="E34" s="196">
        <v>0.15</v>
      </c>
      <c r="F34" s="195">
        <f t="shared" si="0"/>
        <v>0.6</v>
      </c>
      <c r="G34" s="193" t="s">
        <v>341</v>
      </c>
      <c r="H34" s="93"/>
    </row>
    <row r="35" spans="1:8" ht="44.4" customHeight="1">
      <c r="A35" s="336"/>
      <c r="B35" s="76" t="s">
        <v>477</v>
      </c>
      <c r="C35" s="20" t="s">
        <v>155</v>
      </c>
      <c r="D35" s="20">
        <v>1</v>
      </c>
      <c r="E35" s="196">
        <v>1.19</v>
      </c>
      <c r="F35" s="195">
        <f t="shared" si="0"/>
        <v>1.19</v>
      </c>
      <c r="G35" s="193" t="s">
        <v>475</v>
      </c>
      <c r="H35" s="93"/>
    </row>
    <row r="36" spans="1:8" ht="49.2" customHeight="1">
      <c r="A36" s="336"/>
      <c r="B36" s="76" t="s">
        <v>158</v>
      </c>
      <c r="C36" s="20" t="s">
        <v>155</v>
      </c>
      <c r="D36" s="20">
        <v>1</v>
      </c>
      <c r="E36" s="196">
        <v>5.94</v>
      </c>
      <c r="F36" s="195">
        <f t="shared" si="0"/>
        <v>5.94</v>
      </c>
      <c r="G36" s="193" t="s">
        <v>352</v>
      </c>
      <c r="H36" s="93"/>
    </row>
    <row r="37" spans="1:8" ht="24" customHeight="1">
      <c r="A37" s="337"/>
      <c r="B37" s="338" t="s">
        <v>88</v>
      </c>
      <c r="C37" s="339"/>
      <c r="D37" s="339"/>
      <c r="E37" s="340"/>
      <c r="F37" s="195">
        <f>SUM(F8:F36)</f>
        <v>350.00000000000006</v>
      </c>
      <c r="G37" s="81"/>
      <c r="H37" s="93"/>
    </row>
    <row r="38" spans="1:8" ht="24" customHeight="1">
      <c r="A38" s="344" t="s">
        <v>60</v>
      </c>
      <c r="B38" s="21"/>
      <c r="C38" s="19"/>
      <c r="D38" s="19"/>
      <c r="E38" s="46"/>
      <c r="F38" s="195"/>
      <c r="G38" s="89" t="s">
        <v>4</v>
      </c>
      <c r="H38" s="93"/>
    </row>
    <row r="39" spans="1:8" ht="24" customHeight="1">
      <c r="A39" s="345"/>
      <c r="B39" s="341" t="s">
        <v>88</v>
      </c>
      <c r="C39" s="342"/>
      <c r="D39" s="342"/>
      <c r="E39" s="343"/>
      <c r="F39" s="195"/>
      <c r="G39" s="92"/>
      <c r="H39" s="93"/>
    </row>
    <row r="40" spans="1:8" ht="24" customHeight="1">
      <c r="A40" s="333" t="s">
        <v>89</v>
      </c>
      <c r="B40" s="333"/>
      <c r="C40" s="333"/>
      <c r="D40" s="333"/>
      <c r="E40" s="333"/>
      <c r="F40" s="195">
        <f>SUM(F39,F37)</f>
        <v>350.00000000000006</v>
      </c>
      <c r="G40" s="90"/>
      <c r="H40" s="93"/>
    </row>
    <row r="41" spans="1:8" ht="24" customHeight="1">
      <c r="A41" s="357" t="s">
        <v>90</v>
      </c>
      <c r="B41" s="358"/>
      <c r="C41" s="358"/>
      <c r="D41" s="358"/>
      <c r="E41" s="358"/>
      <c r="F41" s="358"/>
      <c r="G41" s="358"/>
      <c r="H41" s="359"/>
    </row>
    <row r="42" spans="1:8" ht="24" customHeight="1">
      <c r="A42" s="355" t="s">
        <v>42</v>
      </c>
      <c r="B42" s="21" t="s">
        <v>4</v>
      </c>
      <c r="C42" s="20" t="s">
        <v>4</v>
      </c>
      <c r="D42" s="20"/>
      <c r="E42" s="45"/>
      <c r="F42" s="197"/>
      <c r="G42" s="90" t="s">
        <v>4</v>
      </c>
      <c r="H42" s="93"/>
    </row>
    <row r="43" spans="1:8" ht="24" customHeight="1">
      <c r="A43" s="356"/>
      <c r="B43" s="21"/>
      <c r="C43" s="20"/>
      <c r="D43" s="20"/>
      <c r="E43" s="45"/>
      <c r="F43" s="197"/>
      <c r="G43" s="90"/>
      <c r="H43" s="93"/>
    </row>
    <row r="44" spans="1:8" ht="24" customHeight="1">
      <c r="A44" s="333" t="s">
        <v>91</v>
      </c>
      <c r="B44" s="333"/>
      <c r="C44" s="333"/>
      <c r="D44" s="333"/>
      <c r="E44" s="333"/>
      <c r="F44" s="198">
        <f>SUM(F42:F43)</f>
        <v>0</v>
      </c>
      <c r="G44" s="90"/>
      <c r="H44" s="93"/>
    </row>
    <row r="45" spans="1:8" ht="24" customHeight="1" thickBot="1">
      <c r="A45" s="348" t="s">
        <v>367</v>
      </c>
      <c r="B45" s="349"/>
      <c r="C45" s="349"/>
      <c r="D45" s="349"/>
      <c r="E45" s="349"/>
      <c r="F45" s="199">
        <f>SUM(F40,F44)</f>
        <v>350.00000000000006</v>
      </c>
      <c r="G45" s="91"/>
      <c r="H45" s="100"/>
    </row>
    <row r="46" spans="1:8">
      <c r="A46" s="5" t="s">
        <v>466</v>
      </c>
    </row>
    <row r="48" spans="1:8">
      <c r="A48" s="352" t="s">
        <v>70</v>
      </c>
      <c r="B48" s="352"/>
      <c r="C48" s="352"/>
      <c r="D48" s="352"/>
      <c r="E48" s="352"/>
      <c r="F48" s="352"/>
      <c r="G48" s="352"/>
    </row>
    <row r="49" spans="1:7">
      <c r="A49" s="34" t="s">
        <v>71</v>
      </c>
      <c r="B49" s="34"/>
      <c r="C49" s="34"/>
      <c r="D49" s="34"/>
      <c r="E49" s="34"/>
      <c r="F49" s="33"/>
      <c r="G49" s="34"/>
    </row>
    <row r="50" spans="1:7">
      <c r="A50" s="34" t="s">
        <v>72</v>
      </c>
      <c r="B50" s="34"/>
      <c r="C50" s="34"/>
      <c r="D50" s="34"/>
      <c r="E50" s="34"/>
      <c r="F50" s="33"/>
      <c r="G50" s="34"/>
    </row>
    <row r="51" spans="1:7">
      <c r="A51" s="34" t="s">
        <v>73</v>
      </c>
      <c r="B51" s="34"/>
      <c r="C51" s="34"/>
      <c r="D51" s="34"/>
      <c r="E51" s="34"/>
      <c r="F51" s="33"/>
      <c r="G51" s="34"/>
    </row>
    <row r="52" spans="1:7">
      <c r="A52" s="34" t="s">
        <v>103</v>
      </c>
    </row>
  </sheetData>
  <mergeCells count="16">
    <mergeCell ref="A45:E45"/>
    <mergeCell ref="A3:B3"/>
    <mergeCell ref="A48:G48"/>
    <mergeCell ref="A5:G5"/>
    <mergeCell ref="A42:A43"/>
    <mergeCell ref="A44:E44"/>
    <mergeCell ref="A41:H41"/>
    <mergeCell ref="A1:G1"/>
    <mergeCell ref="A40:E40"/>
    <mergeCell ref="A6:B6"/>
    <mergeCell ref="A8:A37"/>
    <mergeCell ref="B37:E37"/>
    <mergeCell ref="B39:E39"/>
    <mergeCell ref="A38:A39"/>
    <mergeCell ref="A7:H7"/>
    <mergeCell ref="G4:H4"/>
  </mergeCells>
  <phoneticPr fontId="1" type="noConversion"/>
  <dataValidations count="2">
    <dataValidation type="list" allowBlank="1" showInputMessage="1" showErrorMessage="1" sqref="B8:B36">
      <formula1>"講座鐘點費(內聘),講座鐘點費(外聘), 講座助理鐘點費,授課鐘點費,諮詢費,指導費,稿費,裁判費,印刷費,資料蒐集費,國內旅費,膳宿費,租車費,材料費,物品費,保險費,場地使用費,全民健康保險補充保費,設備使用費,工讀費,設備維護費,軟體設計費,軟體授權費,雜支(包含耗材)"</formula1>
    </dataValidation>
    <dataValidation type="list" allowBlank="1" showInputMessage="1" showErrorMessage="1" sqref="B38">
      <formula1>"學生獎學金,學生獎助金"</formula1>
    </dataValidation>
  </dataValidations>
  <printOptions horizontalCentered="1" verticalCentered="1"/>
  <pageMargins left="0.27559055118110237" right="0.19685039370078741" top="0.31496062992125984" bottom="0.23622047244094491" header="0.31496062992125984" footer="0.15748031496062992"/>
  <pageSetup paperSize="9" scale="81" fitToHeight="0" orientation="portrait" r:id="rId1"/>
  <headerFooter>
    <oddFooter>第 &amp;P 頁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view="pageBreakPreview" topLeftCell="A15" zoomScaleNormal="100" zoomScaleSheetLayoutView="100" workbookViewId="0">
      <selection activeCell="F16" sqref="F16"/>
    </sheetView>
  </sheetViews>
  <sheetFormatPr defaultRowHeight="16.2"/>
  <cols>
    <col min="1" max="1" width="8" customWidth="1"/>
    <col min="2" max="2" width="22.77734375" customWidth="1"/>
    <col min="3" max="5" width="9.33203125" customWidth="1"/>
    <col min="6" max="6" width="9.33203125" style="17" customWidth="1"/>
    <col min="7" max="7" width="38.21875" customWidth="1"/>
    <col min="8" max="8" width="6.109375" customWidth="1"/>
    <col min="9" max="9" width="15.88671875" customWidth="1"/>
    <col min="10" max="10" width="12.33203125" customWidth="1"/>
    <col min="11" max="11" width="24.44140625" customWidth="1"/>
  </cols>
  <sheetData>
    <row r="1" spans="1:8" ht="22.2">
      <c r="A1" s="332" t="s">
        <v>319</v>
      </c>
      <c r="B1" s="295"/>
      <c r="C1" s="295"/>
      <c r="D1" s="295"/>
      <c r="E1" s="295"/>
      <c r="F1" s="295"/>
      <c r="G1" s="295"/>
    </row>
    <row r="3" spans="1:8">
      <c r="A3" s="350" t="s">
        <v>57</v>
      </c>
      <c r="B3" s="351"/>
    </row>
    <row r="4" spans="1:8">
      <c r="A4" s="18" t="s">
        <v>353</v>
      </c>
      <c r="G4" s="347" t="s">
        <v>3</v>
      </c>
      <c r="H4" s="347"/>
    </row>
    <row r="5" spans="1:8" ht="16.8" thickBot="1">
      <c r="A5" s="353" t="s">
        <v>128</v>
      </c>
      <c r="B5" s="354"/>
      <c r="C5" s="354"/>
      <c r="D5" s="354"/>
      <c r="E5" s="354"/>
      <c r="F5" s="354"/>
      <c r="G5" s="354"/>
      <c r="H5" s="88"/>
    </row>
    <row r="6" spans="1:8" ht="31.5" customHeight="1">
      <c r="A6" s="334" t="s">
        <v>32</v>
      </c>
      <c r="B6" s="335"/>
      <c r="C6" s="94" t="s">
        <v>5</v>
      </c>
      <c r="D6" s="94" t="s">
        <v>6</v>
      </c>
      <c r="E6" s="95" t="s">
        <v>7</v>
      </c>
      <c r="F6" s="96" t="s">
        <v>8</v>
      </c>
      <c r="G6" s="97" t="s">
        <v>9</v>
      </c>
      <c r="H6" s="99" t="s">
        <v>102</v>
      </c>
    </row>
    <row r="7" spans="1:8" ht="24" customHeight="1">
      <c r="A7" s="346" t="s">
        <v>87</v>
      </c>
      <c r="B7" s="346"/>
      <c r="C7" s="346"/>
      <c r="D7" s="346"/>
      <c r="E7" s="346"/>
      <c r="F7" s="346"/>
      <c r="G7" s="346"/>
      <c r="H7" s="346"/>
    </row>
    <row r="8" spans="1:8" ht="60" customHeight="1">
      <c r="A8" s="336" t="s">
        <v>10</v>
      </c>
      <c r="B8" s="76" t="s">
        <v>138</v>
      </c>
      <c r="C8" s="75" t="s">
        <v>136</v>
      </c>
      <c r="D8" s="75">
        <v>40</v>
      </c>
      <c r="E8" s="194">
        <v>0.55000000000000004</v>
      </c>
      <c r="F8" s="195">
        <f>D8*E8</f>
        <v>22</v>
      </c>
      <c r="G8" s="89" t="s">
        <v>321</v>
      </c>
      <c r="H8" s="98"/>
    </row>
    <row r="9" spans="1:8" ht="60" customHeight="1">
      <c r="A9" s="336"/>
      <c r="B9" s="76" t="s">
        <v>146</v>
      </c>
      <c r="C9" s="20" t="s">
        <v>147</v>
      </c>
      <c r="D9" s="20">
        <v>3</v>
      </c>
      <c r="E9" s="196">
        <v>12</v>
      </c>
      <c r="F9" s="195">
        <f t="shared" ref="F9:F15" si="0">D9*E9</f>
        <v>36</v>
      </c>
      <c r="G9" s="90" t="s">
        <v>324</v>
      </c>
      <c r="H9" s="93"/>
    </row>
    <row r="10" spans="1:8" ht="66" customHeight="1">
      <c r="A10" s="336"/>
      <c r="B10" s="76" t="s">
        <v>148</v>
      </c>
      <c r="C10" s="20" t="s">
        <v>325</v>
      </c>
      <c r="D10" s="20">
        <v>150</v>
      </c>
      <c r="E10" s="196">
        <v>0.2</v>
      </c>
      <c r="F10" s="195">
        <f t="shared" si="0"/>
        <v>30</v>
      </c>
      <c r="G10" s="90" t="s">
        <v>355</v>
      </c>
      <c r="H10" s="93"/>
    </row>
    <row r="11" spans="1:8" ht="36.6" customHeight="1">
      <c r="A11" s="336"/>
      <c r="B11" s="76" t="s">
        <v>150</v>
      </c>
      <c r="C11" s="20" t="s">
        <v>461</v>
      </c>
      <c r="D11" s="20">
        <v>60</v>
      </c>
      <c r="E11" s="196">
        <v>0.03</v>
      </c>
      <c r="F11" s="195">
        <f t="shared" si="0"/>
        <v>1.7999999999999998</v>
      </c>
      <c r="G11" s="90" t="s">
        <v>338</v>
      </c>
      <c r="H11" s="93"/>
    </row>
    <row r="12" spans="1:8" ht="24" customHeight="1">
      <c r="A12" s="336"/>
      <c r="B12" s="76" t="s">
        <v>151</v>
      </c>
      <c r="C12" s="20" t="s">
        <v>156</v>
      </c>
      <c r="D12" s="20">
        <v>1</v>
      </c>
      <c r="E12" s="196">
        <v>3</v>
      </c>
      <c r="F12" s="195">
        <f t="shared" si="0"/>
        <v>3</v>
      </c>
      <c r="G12" s="90" t="s">
        <v>340</v>
      </c>
      <c r="H12" s="93"/>
    </row>
    <row r="13" spans="1:8" ht="28.8" customHeight="1">
      <c r="A13" s="336"/>
      <c r="B13" s="76" t="s">
        <v>152</v>
      </c>
      <c r="C13" s="20" t="s">
        <v>153</v>
      </c>
      <c r="D13" s="20">
        <v>4</v>
      </c>
      <c r="E13" s="196">
        <v>0.15</v>
      </c>
      <c r="F13" s="195">
        <f t="shared" si="0"/>
        <v>0.6</v>
      </c>
      <c r="G13" s="90" t="s">
        <v>341</v>
      </c>
      <c r="H13" s="93"/>
    </row>
    <row r="14" spans="1:8" ht="24" customHeight="1">
      <c r="A14" s="336"/>
      <c r="B14" s="76" t="s">
        <v>154</v>
      </c>
      <c r="C14" s="20" t="s">
        <v>155</v>
      </c>
      <c r="D14" s="20">
        <v>1</v>
      </c>
      <c r="E14" s="196">
        <v>0.42</v>
      </c>
      <c r="F14" s="195">
        <f t="shared" si="0"/>
        <v>0.42</v>
      </c>
      <c r="G14" s="90" t="s">
        <v>476</v>
      </c>
      <c r="H14" s="93"/>
    </row>
    <row r="15" spans="1:8" ht="52.2" customHeight="1">
      <c r="A15" s="336"/>
      <c r="B15" s="76" t="s">
        <v>158</v>
      </c>
      <c r="C15" s="20" t="s">
        <v>155</v>
      </c>
      <c r="D15" s="20">
        <v>1</v>
      </c>
      <c r="E15" s="196">
        <v>6.18</v>
      </c>
      <c r="F15" s="195">
        <f t="shared" si="0"/>
        <v>6.18</v>
      </c>
      <c r="G15" s="193" t="s">
        <v>468</v>
      </c>
      <c r="H15" s="93"/>
    </row>
    <row r="16" spans="1:8" ht="24" customHeight="1">
      <c r="A16" s="336"/>
      <c r="B16" s="76"/>
      <c r="C16" s="20"/>
      <c r="D16" s="20"/>
      <c r="E16" s="45"/>
      <c r="F16" s="74"/>
      <c r="G16" s="90"/>
      <c r="H16" s="93"/>
    </row>
    <row r="17" spans="1:8" ht="24" customHeight="1">
      <c r="A17" s="336"/>
      <c r="B17" s="78"/>
      <c r="C17" s="20"/>
      <c r="D17" s="20"/>
      <c r="E17" s="45"/>
      <c r="F17" s="74"/>
      <c r="G17" s="90"/>
      <c r="H17" s="93"/>
    </row>
    <row r="18" spans="1:8" ht="24" customHeight="1">
      <c r="A18" s="337"/>
      <c r="B18" s="338" t="s">
        <v>88</v>
      </c>
      <c r="C18" s="339"/>
      <c r="D18" s="339"/>
      <c r="E18" s="340"/>
      <c r="F18" s="198">
        <f>SUM(F3:F17)</f>
        <v>100</v>
      </c>
      <c r="G18" s="81"/>
      <c r="H18" s="93"/>
    </row>
    <row r="19" spans="1:8" ht="24" customHeight="1">
      <c r="A19" s="344" t="s">
        <v>60</v>
      </c>
      <c r="B19" s="21"/>
      <c r="C19" s="19"/>
      <c r="D19" s="19"/>
      <c r="E19" s="46"/>
      <c r="F19" s="195"/>
      <c r="G19" s="89" t="s">
        <v>4</v>
      </c>
      <c r="H19" s="93"/>
    </row>
    <row r="20" spans="1:8" ht="24" customHeight="1">
      <c r="A20" s="345"/>
      <c r="B20" s="21"/>
      <c r="C20" s="19"/>
      <c r="D20" s="19"/>
      <c r="E20" s="46"/>
      <c r="F20" s="197"/>
      <c r="G20" s="90" t="s">
        <v>4</v>
      </c>
      <c r="H20" s="93"/>
    </row>
    <row r="21" spans="1:8" ht="24" customHeight="1">
      <c r="A21" s="345"/>
      <c r="B21" s="21"/>
      <c r="C21" s="20"/>
      <c r="D21" s="20"/>
      <c r="E21" s="45"/>
      <c r="F21" s="197"/>
      <c r="G21" s="90" t="s">
        <v>4</v>
      </c>
      <c r="H21" s="93"/>
    </row>
    <row r="22" spans="1:8" ht="24" customHeight="1">
      <c r="A22" s="345"/>
      <c r="B22" s="21"/>
      <c r="C22" s="79"/>
      <c r="D22" s="79"/>
      <c r="E22" s="80"/>
      <c r="F22" s="197"/>
      <c r="G22" s="90"/>
      <c r="H22" s="93"/>
    </row>
    <row r="23" spans="1:8" ht="24" customHeight="1">
      <c r="A23" s="345"/>
      <c r="B23" s="341" t="s">
        <v>88</v>
      </c>
      <c r="C23" s="342"/>
      <c r="D23" s="342"/>
      <c r="E23" s="343"/>
      <c r="F23" s="200"/>
      <c r="G23" s="92"/>
      <c r="H23" s="93"/>
    </row>
    <row r="24" spans="1:8" ht="24" customHeight="1">
      <c r="A24" s="333" t="s">
        <v>89</v>
      </c>
      <c r="B24" s="333"/>
      <c r="C24" s="333"/>
      <c r="D24" s="333"/>
      <c r="E24" s="333"/>
      <c r="F24" s="198">
        <f>SUM(F23,F18)</f>
        <v>100</v>
      </c>
      <c r="G24" s="90"/>
      <c r="H24" s="93"/>
    </row>
    <row r="25" spans="1:8" ht="24" customHeight="1">
      <c r="A25" s="357" t="s">
        <v>90</v>
      </c>
      <c r="B25" s="358"/>
      <c r="C25" s="358"/>
      <c r="D25" s="358"/>
      <c r="E25" s="358"/>
      <c r="F25" s="358"/>
      <c r="G25" s="358"/>
      <c r="H25" s="359"/>
    </row>
    <row r="26" spans="1:8" ht="24" customHeight="1">
      <c r="A26" s="360" t="s">
        <v>42</v>
      </c>
      <c r="B26" s="21" t="s">
        <v>4</v>
      </c>
      <c r="C26" s="20" t="s">
        <v>4</v>
      </c>
      <c r="D26" s="20"/>
      <c r="E26" s="45"/>
      <c r="F26" s="197"/>
      <c r="G26" s="90" t="s">
        <v>4</v>
      </c>
      <c r="H26" s="93"/>
    </row>
    <row r="27" spans="1:8" ht="24" customHeight="1">
      <c r="A27" s="360"/>
      <c r="B27" s="21"/>
      <c r="C27" s="20"/>
      <c r="D27" s="20"/>
      <c r="E27" s="45"/>
      <c r="F27" s="197"/>
      <c r="G27" s="90"/>
      <c r="H27" s="93"/>
    </row>
    <row r="28" spans="1:8" ht="24" customHeight="1">
      <c r="A28" s="360"/>
      <c r="B28" s="21"/>
      <c r="C28" s="20"/>
      <c r="D28" s="20"/>
      <c r="E28" s="45"/>
      <c r="F28" s="197"/>
      <c r="G28" s="90"/>
      <c r="H28" s="93"/>
    </row>
    <row r="29" spans="1:8" ht="24" customHeight="1">
      <c r="A29" s="360"/>
      <c r="B29" s="21"/>
      <c r="C29" s="20"/>
      <c r="D29" s="20"/>
      <c r="E29" s="45"/>
      <c r="F29" s="197"/>
      <c r="G29" s="90"/>
      <c r="H29" s="93"/>
    </row>
    <row r="30" spans="1:8" ht="24" customHeight="1">
      <c r="A30" s="360"/>
      <c r="B30" s="21" t="s">
        <v>4</v>
      </c>
      <c r="C30" s="20" t="s">
        <v>4</v>
      </c>
      <c r="D30" s="20"/>
      <c r="E30" s="45"/>
      <c r="F30" s="197"/>
      <c r="G30" s="90" t="s">
        <v>4</v>
      </c>
      <c r="H30" s="93"/>
    </row>
    <row r="31" spans="1:8" ht="24" customHeight="1">
      <c r="A31" s="333" t="s">
        <v>91</v>
      </c>
      <c r="B31" s="333"/>
      <c r="C31" s="333"/>
      <c r="D31" s="333"/>
      <c r="E31" s="333"/>
      <c r="F31" s="198">
        <f>SUM(F26:F30)</f>
        <v>0</v>
      </c>
      <c r="G31" s="90"/>
      <c r="H31" s="93"/>
    </row>
    <row r="32" spans="1:8" ht="24" customHeight="1" thickBot="1">
      <c r="A32" s="348" t="s">
        <v>127</v>
      </c>
      <c r="B32" s="349"/>
      <c r="C32" s="349"/>
      <c r="D32" s="349"/>
      <c r="E32" s="349"/>
      <c r="F32" s="199">
        <f>SUM(F24,F31)</f>
        <v>100</v>
      </c>
      <c r="G32" s="91"/>
      <c r="H32" s="100"/>
    </row>
    <row r="33" spans="1:7">
      <c r="A33" s="5" t="s">
        <v>467</v>
      </c>
    </row>
    <row r="35" spans="1:7">
      <c r="A35" s="352" t="s">
        <v>70</v>
      </c>
      <c r="B35" s="352"/>
      <c r="C35" s="352"/>
      <c r="D35" s="352"/>
      <c r="E35" s="352"/>
      <c r="F35" s="352"/>
      <c r="G35" s="352"/>
    </row>
    <row r="36" spans="1:7">
      <c r="A36" s="34" t="s">
        <v>71</v>
      </c>
      <c r="B36" s="34"/>
      <c r="C36" s="34"/>
      <c r="D36" s="34"/>
      <c r="E36" s="34"/>
      <c r="F36" s="33"/>
      <c r="G36" s="34"/>
    </row>
    <row r="37" spans="1:7">
      <c r="A37" s="34" t="s">
        <v>72</v>
      </c>
      <c r="B37" s="34"/>
      <c r="C37" s="34"/>
      <c r="D37" s="34"/>
      <c r="E37" s="34"/>
      <c r="F37" s="33"/>
      <c r="G37" s="34"/>
    </row>
    <row r="38" spans="1:7">
      <c r="A38" s="34" t="s">
        <v>73</v>
      </c>
      <c r="B38" s="34"/>
      <c r="C38" s="34"/>
      <c r="D38" s="34"/>
      <c r="E38" s="34"/>
      <c r="F38" s="33"/>
      <c r="G38" s="34"/>
    </row>
    <row r="39" spans="1:7">
      <c r="A39" s="34" t="s">
        <v>103</v>
      </c>
    </row>
  </sheetData>
  <mergeCells count="16">
    <mergeCell ref="A1:G1"/>
    <mergeCell ref="A3:B3"/>
    <mergeCell ref="A5:G5"/>
    <mergeCell ref="A6:B6"/>
    <mergeCell ref="A7:H7"/>
    <mergeCell ref="A32:E32"/>
    <mergeCell ref="A35:G35"/>
    <mergeCell ref="G4:H4"/>
    <mergeCell ref="A19:A23"/>
    <mergeCell ref="B23:E23"/>
    <mergeCell ref="A24:E24"/>
    <mergeCell ref="A25:H25"/>
    <mergeCell ref="A26:A30"/>
    <mergeCell ref="A31:E31"/>
    <mergeCell ref="A8:A18"/>
    <mergeCell ref="B18:E18"/>
  </mergeCells>
  <phoneticPr fontId="1" type="noConversion"/>
  <dataValidations disablePrompts="1" count="2">
    <dataValidation type="list" allowBlank="1" showInputMessage="1" showErrorMessage="1" sqref="B19:B22">
      <formula1>"學生獎學金,學生獎助金"</formula1>
    </dataValidation>
    <dataValidation type="list" allowBlank="1" showInputMessage="1" showErrorMessage="1" sqref="B8:B17">
      <formula1>"講座鐘點費(內聘),講座鐘點費(外聘), 講座助理鐘點費,授課鐘點費,諮詢費,指導費,稿費,裁判費,印刷費,資料蒐集費,國內旅費,膳宿費,租車費,材料費,物品費,保險費,場地使用費,全民健康保險補充保費,設備使用費,工讀費,設備維護費,軟體設計費,軟體授權費,雜支(包含耗材)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第 &amp;P 頁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view="pageBreakPreview" zoomScale="85" zoomScaleNormal="100" zoomScaleSheetLayoutView="85" workbookViewId="0">
      <pane xSplit="1" ySplit="7" topLeftCell="B26" activePane="bottomRight" state="frozen"/>
      <selection pane="topRight" activeCell="B1" sqref="B1"/>
      <selection pane="bottomLeft" activeCell="A8" sqref="A8"/>
      <selection pane="bottomRight" activeCell="E27" sqref="E27"/>
    </sheetView>
  </sheetViews>
  <sheetFormatPr defaultRowHeight="16.2"/>
  <cols>
    <col min="1" max="1" width="8" customWidth="1"/>
    <col min="2" max="2" width="25.44140625" customWidth="1"/>
    <col min="3" max="4" width="10" customWidth="1"/>
    <col min="5" max="5" width="12.44140625" bestFit="1" customWidth="1"/>
    <col min="6" max="6" width="10" style="17" customWidth="1"/>
    <col min="7" max="7" width="70.77734375" customWidth="1"/>
    <col min="8" max="8" width="6.109375" customWidth="1"/>
    <col min="9" max="9" width="15.88671875" customWidth="1"/>
    <col min="10" max="10" width="12.33203125" customWidth="1"/>
    <col min="11" max="11" width="24.44140625" customWidth="1"/>
  </cols>
  <sheetData>
    <row r="1" spans="1:8" ht="22.2">
      <c r="A1" s="332" t="s">
        <v>318</v>
      </c>
      <c r="B1" s="295"/>
      <c r="C1" s="295"/>
      <c r="D1" s="295"/>
      <c r="E1" s="295"/>
      <c r="F1" s="295"/>
      <c r="G1" s="295"/>
    </row>
    <row r="3" spans="1:8">
      <c r="A3" s="350" t="s">
        <v>356</v>
      </c>
      <c r="B3" s="351"/>
    </row>
    <row r="4" spans="1:8">
      <c r="A4" s="18" t="s">
        <v>386</v>
      </c>
      <c r="G4" s="347" t="s">
        <v>3</v>
      </c>
      <c r="H4" s="347"/>
    </row>
    <row r="5" spans="1:8" ht="16.8" thickBot="1">
      <c r="A5" s="353" t="s">
        <v>126</v>
      </c>
      <c r="B5" s="354"/>
      <c r="C5" s="354"/>
      <c r="D5" s="354"/>
      <c r="E5" s="354"/>
      <c r="F5" s="354"/>
      <c r="G5" s="354"/>
      <c r="H5" s="190"/>
    </row>
    <row r="6" spans="1:8" ht="31.5" customHeight="1">
      <c r="A6" s="334" t="s">
        <v>32</v>
      </c>
      <c r="B6" s="335"/>
      <c r="C6" s="188" t="s">
        <v>5</v>
      </c>
      <c r="D6" s="188" t="s">
        <v>6</v>
      </c>
      <c r="E6" s="95" t="s">
        <v>7</v>
      </c>
      <c r="F6" s="96" t="s">
        <v>8</v>
      </c>
      <c r="G6" s="97" t="s">
        <v>9</v>
      </c>
      <c r="H6" s="101" t="s">
        <v>102</v>
      </c>
    </row>
    <row r="7" spans="1:8" ht="24" customHeight="1">
      <c r="A7" s="346" t="s">
        <v>87</v>
      </c>
      <c r="B7" s="346"/>
      <c r="C7" s="346"/>
      <c r="D7" s="346"/>
      <c r="E7" s="346"/>
      <c r="F7" s="346"/>
      <c r="G7" s="346"/>
      <c r="H7" s="346"/>
    </row>
    <row r="8" spans="1:8" ht="85.2" customHeight="1">
      <c r="A8" s="363" t="s">
        <v>10</v>
      </c>
      <c r="B8" s="257" t="s">
        <v>177</v>
      </c>
      <c r="C8" s="258" t="s">
        <v>136</v>
      </c>
      <c r="D8" s="258">
        <v>20</v>
      </c>
      <c r="E8" s="259">
        <v>1</v>
      </c>
      <c r="F8" s="260">
        <f>D8*E8</f>
        <v>20</v>
      </c>
      <c r="G8" s="261" t="s">
        <v>448</v>
      </c>
      <c r="H8" s="262"/>
    </row>
    <row r="9" spans="1:8" ht="51.6" customHeight="1">
      <c r="A9" s="363"/>
      <c r="B9" s="257" t="s">
        <v>197</v>
      </c>
      <c r="C9" s="263" t="s">
        <v>136</v>
      </c>
      <c r="D9" s="263">
        <v>32</v>
      </c>
      <c r="E9" s="264">
        <v>2</v>
      </c>
      <c r="F9" s="260">
        <f t="shared" ref="F9:F20" si="0">D9*E9</f>
        <v>64</v>
      </c>
      <c r="G9" s="265" t="s">
        <v>449</v>
      </c>
      <c r="H9" s="266"/>
    </row>
    <row r="10" spans="1:8" ht="42.6" customHeight="1">
      <c r="A10" s="363"/>
      <c r="B10" s="257" t="s">
        <v>137</v>
      </c>
      <c r="C10" s="263" t="s">
        <v>136</v>
      </c>
      <c r="D10" s="263">
        <v>20</v>
      </c>
      <c r="E10" s="264">
        <v>1</v>
      </c>
      <c r="F10" s="260">
        <f t="shared" si="0"/>
        <v>20</v>
      </c>
      <c r="G10" s="265" t="s">
        <v>450</v>
      </c>
      <c r="H10" s="266"/>
    </row>
    <row r="11" spans="1:8" ht="42.6" customHeight="1">
      <c r="A11" s="363"/>
      <c r="B11" s="257" t="s">
        <v>138</v>
      </c>
      <c r="C11" s="263" t="s">
        <v>136</v>
      </c>
      <c r="D11" s="263">
        <v>12</v>
      </c>
      <c r="E11" s="264">
        <v>0.4</v>
      </c>
      <c r="F11" s="260">
        <f t="shared" si="0"/>
        <v>4.8000000000000007</v>
      </c>
      <c r="G11" s="265" t="s">
        <v>451</v>
      </c>
      <c r="H11" s="266"/>
    </row>
    <row r="12" spans="1:8" ht="42.6" customHeight="1">
      <c r="A12" s="363"/>
      <c r="B12" s="257" t="s">
        <v>138</v>
      </c>
      <c r="C12" s="263" t="s">
        <v>136</v>
      </c>
      <c r="D12" s="263">
        <v>20</v>
      </c>
      <c r="E12" s="264">
        <v>0.55000000000000004</v>
      </c>
      <c r="F12" s="260">
        <f t="shared" si="0"/>
        <v>11</v>
      </c>
      <c r="G12" s="265" t="s">
        <v>452</v>
      </c>
      <c r="H12" s="266"/>
    </row>
    <row r="13" spans="1:8" ht="42.6" customHeight="1">
      <c r="A13" s="363"/>
      <c r="B13" s="257" t="s">
        <v>141</v>
      </c>
      <c r="C13" s="263" t="s">
        <v>343</v>
      </c>
      <c r="D13" s="263">
        <v>60</v>
      </c>
      <c r="E13" s="264">
        <v>0.03</v>
      </c>
      <c r="F13" s="260">
        <f t="shared" si="0"/>
        <v>1.7999999999999998</v>
      </c>
      <c r="G13" s="265" t="s">
        <v>453</v>
      </c>
      <c r="H13" s="266"/>
    </row>
    <row r="14" spans="1:8" ht="42.6" customHeight="1">
      <c r="A14" s="363"/>
      <c r="B14" s="257" t="s">
        <v>143</v>
      </c>
      <c r="C14" s="263" t="s">
        <v>140</v>
      </c>
      <c r="D14" s="263">
        <v>8</v>
      </c>
      <c r="E14" s="264">
        <v>1</v>
      </c>
      <c r="F14" s="260">
        <f t="shared" si="0"/>
        <v>8</v>
      </c>
      <c r="G14" s="265" t="s">
        <v>454</v>
      </c>
      <c r="H14" s="266"/>
    </row>
    <row r="15" spans="1:8" ht="42.6" customHeight="1">
      <c r="A15" s="363"/>
      <c r="B15" s="257" t="s">
        <v>144</v>
      </c>
      <c r="C15" s="263" t="s">
        <v>145</v>
      </c>
      <c r="D15" s="263">
        <v>100</v>
      </c>
      <c r="E15" s="264">
        <v>0.08</v>
      </c>
      <c r="F15" s="260">
        <f t="shared" si="0"/>
        <v>8</v>
      </c>
      <c r="G15" s="265" t="s">
        <v>455</v>
      </c>
      <c r="H15" s="266"/>
    </row>
    <row r="16" spans="1:8" ht="42.6" customHeight="1">
      <c r="A16" s="363"/>
      <c r="B16" s="257" t="s">
        <v>146</v>
      </c>
      <c r="C16" s="263" t="s">
        <v>147</v>
      </c>
      <c r="D16" s="263">
        <v>2</v>
      </c>
      <c r="E16" s="264">
        <v>12</v>
      </c>
      <c r="F16" s="260">
        <f t="shared" si="0"/>
        <v>24</v>
      </c>
      <c r="G16" s="265" t="s">
        <v>456</v>
      </c>
      <c r="H16" s="266"/>
    </row>
    <row r="17" spans="1:8" ht="42.6" customHeight="1">
      <c r="A17" s="363"/>
      <c r="B17" s="257" t="s">
        <v>148</v>
      </c>
      <c r="C17" s="263" t="s">
        <v>140</v>
      </c>
      <c r="D17" s="263">
        <v>185</v>
      </c>
      <c r="E17" s="264">
        <v>0.2</v>
      </c>
      <c r="F17" s="260">
        <f t="shared" si="0"/>
        <v>37</v>
      </c>
      <c r="G17" s="265" t="s">
        <v>457</v>
      </c>
      <c r="H17" s="266"/>
    </row>
    <row r="18" spans="1:8" ht="42.6" customHeight="1">
      <c r="A18" s="363"/>
      <c r="B18" s="257" t="s">
        <v>150</v>
      </c>
      <c r="C18" s="263" t="s">
        <v>460</v>
      </c>
      <c r="D18" s="263">
        <v>40</v>
      </c>
      <c r="E18" s="264">
        <v>7.0000000000000007E-2</v>
      </c>
      <c r="F18" s="260">
        <f t="shared" si="0"/>
        <v>2.8000000000000003</v>
      </c>
      <c r="G18" s="265" t="s">
        <v>458</v>
      </c>
      <c r="H18" s="266"/>
    </row>
    <row r="19" spans="1:8" ht="42.6" customHeight="1">
      <c r="A19" s="363"/>
      <c r="B19" s="257" t="s">
        <v>151</v>
      </c>
      <c r="C19" s="263" t="s">
        <v>156</v>
      </c>
      <c r="D19" s="263">
        <v>2</v>
      </c>
      <c r="E19" s="264">
        <v>6</v>
      </c>
      <c r="F19" s="260">
        <f t="shared" si="0"/>
        <v>12</v>
      </c>
      <c r="G19" s="265" t="s">
        <v>458</v>
      </c>
      <c r="H19" s="266"/>
    </row>
    <row r="20" spans="1:8" ht="42.6" customHeight="1">
      <c r="A20" s="363"/>
      <c r="B20" s="257" t="s">
        <v>154</v>
      </c>
      <c r="C20" s="263" t="s">
        <v>155</v>
      </c>
      <c r="D20" s="263">
        <v>1</v>
      </c>
      <c r="E20" s="264">
        <v>1.55</v>
      </c>
      <c r="F20" s="260">
        <f t="shared" si="0"/>
        <v>1.55</v>
      </c>
      <c r="G20" s="265" t="s">
        <v>213</v>
      </c>
      <c r="H20" s="266"/>
    </row>
    <row r="21" spans="1:8" ht="42.6" customHeight="1">
      <c r="A21" s="363"/>
      <c r="B21" s="257" t="s">
        <v>158</v>
      </c>
      <c r="C21" s="263" t="s">
        <v>155</v>
      </c>
      <c r="D21" s="263">
        <v>1</v>
      </c>
      <c r="E21" s="264">
        <v>5.05</v>
      </c>
      <c r="F21" s="260">
        <f t="shared" ref="F21" si="1">D21*E21</f>
        <v>5.05</v>
      </c>
      <c r="G21" s="265" t="s">
        <v>459</v>
      </c>
      <c r="H21" s="266"/>
    </row>
    <row r="22" spans="1:8" ht="24" customHeight="1">
      <c r="A22" s="364"/>
      <c r="B22" s="365" t="s">
        <v>88</v>
      </c>
      <c r="C22" s="366"/>
      <c r="D22" s="366"/>
      <c r="E22" s="367"/>
      <c r="F22" s="260">
        <f>SUM(F8:F21)</f>
        <v>220.00000000000003</v>
      </c>
      <c r="G22" s="267"/>
      <c r="H22" s="266"/>
    </row>
    <row r="23" spans="1:8" ht="24" customHeight="1">
      <c r="A23" s="368" t="s">
        <v>60</v>
      </c>
      <c r="B23" s="268"/>
      <c r="C23" s="269"/>
      <c r="D23" s="269"/>
      <c r="E23" s="270"/>
      <c r="F23" s="260"/>
      <c r="G23" s="261" t="s">
        <v>4</v>
      </c>
      <c r="H23" s="266"/>
    </row>
    <row r="24" spans="1:8" ht="24" customHeight="1">
      <c r="A24" s="369"/>
      <c r="B24" s="370" t="s">
        <v>88</v>
      </c>
      <c r="C24" s="371"/>
      <c r="D24" s="371"/>
      <c r="E24" s="372"/>
      <c r="F24" s="260"/>
      <c r="G24" s="271"/>
      <c r="H24" s="266"/>
    </row>
    <row r="25" spans="1:8" ht="24" customHeight="1">
      <c r="A25" s="373" t="s">
        <v>89</v>
      </c>
      <c r="B25" s="373"/>
      <c r="C25" s="373"/>
      <c r="D25" s="373"/>
      <c r="E25" s="373"/>
      <c r="F25" s="260">
        <f>SUM(F24,F22)</f>
        <v>220.00000000000003</v>
      </c>
      <c r="G25" s="265"/>
      <c r="H25" s="266"/>
    </row>
    <row r="26" spans="1:8" ht="24" customHeight="1">
      <c r="A26" s="374" t="s">
        <v>90</v>
      </c>
      <c r="B26" s="375"/>
      <c r="C26" s="375"/>
      <c r="D26" s="375"/>
      <c r="E26" s="375"/>
      <c r="F26" s="375"/>
      <c r="G26" s="375"/>
      <c r="H26" s="376"/>
    </row>
    <row r="27" spans="1:8" ht="94.2" customHeight="1">
      <c r="A27" s="361" t="s">
        <v>42</v>
      </c>
      <c r="B27" s="268" t="s">
        <v>357</v>
      </c>
      <c r="C27" s="263" t="s">
        <v>358</v>
      </c>
      <c r="D27" s="263">
        <v>1</v>
      </c>
      <c r="E27" s="272">
        <v>164</v>
      </c>
      <c r="F27" s="273">
        <f>D27*E27</f>
        <v>164</v>
      </c>
      <c r="G27" s="265" t="s">
        <v>447</v>
      </c>
      <c r="H27" s="266"/>
    </row>
    <row r="28" spans="1:8" ht="24" customHeight="1">
      <c r="A28" s="362"/>
      <c r="B28" s="268" t="s">
        <v>359</v>
      </c>
      <c r="C28" s="263" t="s">
        <v>358</v>
      </c>
      <c r="D28" s="263">
        <v>1</v>
      </c>
      <c r="E28" s="272">
        <v>40</v>
      </c>
      <c r="F28" s="273">
        <f t="shared" ref="F28:F31" si="2">D28*E28</f>
        <v>40</v>
      </c>
      <c r="G28" s="265" t="s">
        <v>366</v>
      </c>
      <c r="H28" s="266"/>
    </row>
    <row r="29" spans="1:8" ht="24" customHeight="1">
      <c r="A29" s="362"/>
      <c r="B29" s="268" t="s">
        <v>360</v>
      </c>
      <c r="C29" s="263" t="s">
        <v>361</v>
      </c>
      <c r="D29" s="263">
        <v>1</v>
      </c>
      <c r="E29" s="272">
        <v>30</v>
      </c>
      <c r="F29" s="273">
        <f t="shared" si="2"/>
        <v>30</v>
      </c>
      <c r="G29" s="265" t="s">
        <v>478</v>
      </c>
      <c r="H29" s="266"/>
    </row>
    <row r="30" spans="1:8" ht="94.2" customHeight="1">
      <c r="A30" s="362"/>
      <c r="B30" s="268" t="s">
        <v>362</v>
      </c>
      <c r="C30" s="263" t="s">
        <v>363</v>
      </c>
      <c r="D30" s="263">
        <v>6</v>
      </c>
      <c r="E30" s="272">
        <v>30</v>
      </c>
      <c r="F30" s="273">
        <f t="shared" si="2"/>
        <v>180</v>
      </c>
      <c r="G30" s="265" t="s">
        <v>446</v>
      </c>
      <c r="H30" s="266"/>
    </row>
    <row r="31" spans="1:8" ht="24" customHeight="1">
      <c r="A31" s="362"/>
      <c r="B31" s="268" t="s">
        <v>364</v>
      </c>
      <c r="C31" s="263" t="s">
        <v>205</v>
      </c>
      <c r="D31" s="263">
        <v>8</v>
      </c>
      <c r="E31" s="272">
        <v>12</v>
      </c>
      <c r="F31" s="273">
        <f t="shared" si="2"/>
        <v>96</v>
      </c>
      <c r="G31" s="265" t="s">
        <v>365</v>
      </c>
      <c r="H31" s="266"/>
    </row>
    <row r="32" spans="1:8" ht="24" customHeight="1">
      <c r="A32" s="362"/>
      <c r="B32" s="268"/>
      <c r="C32" s="263"/>
      <c r="D32" s="263"/>
      <c r="E32" s="272"/>
      <c r="F32" s="273"/>
      <c r="G32" s="265"/>
      <c r="H32" s="266"/>
    </row>
    <row r="33" spans="1:8" ht="24" customHeight="1">
      <c r="A33" s="362"/>
      <c r="B33" s="268"/>
      <c r="C33" s="263"/>
      <c r="D33" s="263"/>
      <c r="E33" s="272"/>
      <c r="F33" s="273"/>
      <c r="G33" s="265"/>
      <c r="H33" s="266"/>
    </row>
    <row r="34" spans="1:8" ht="24" customHeight="1">
      <c r="A34" s="333" t="s">
        <v>91</v>
      </c>
      <c r="B34" s="333"/>
      <c r="C34" s="333"/>
      <c r="D34" s="333"/>
      <c r="E34" s="333"/>
      <c r="F34" s="198">
        <f>SUM(F27:F33)</f>
        <v>510</v>
      </c>
      <c r="G34" s="90"/>
      <c r="H34" s="93"/>
    </row>
    <row r="35" spans="1:8" ht="24" customHeight="1" thickBot="1">
      <c r="A35" s="348" t="s">
        <v>367</v>
      </c>
      <c r="B35" s="349"/>
      <c r="C35" s="349"/>
      <c r="D35" s="349"/>
      <c r="E35" s="349"/>
      <c r="F35" s="199">
        <f>SUM(F25,F34)</f>
        <v>730</v>
      </c>
      <c r="G35" s="91"/>
      <c r="H35" s="100"/>
    </row>
    <row r="36" spans="1:8" s="275" customFormat="1" ht="19.8">
      <c r="A36" s="274" t="s">
        <v>487</v>
      </c>
      <c r="F36" s="276"/>
    </row>
    <row r="37" spans="1:8" ht="46.8" customHeight="1"/>
    <row r="38" spans="1:8">
      <c r="A38" s="352" t="s">
        <v>70</v>
      </c>
      <c r="B38" s="352"/>
      <c r="C38" s="352"/>
      <c r="D38" s="352"/>
      <c r="E38" s="352"/>
      <c r="F38" s="352"/>
      <c r="G38" s="352"/>
    </row>
    <row r="39" spans="1:8">
      <c r="A39" s="189" t="s">
        <v>71</v>
      </c>
      <c r="B39" s="189"/>
      <c r="C39" s="189"/>
      <c r="D39" s="189"/>
      <c r="E39" s="189"/>
      <c r="F39" s="33"/>
      <c r="G39" s="189"/>
    </row>
    <row r="40" spans="1:8">
      <c r="A40" s="189" t="s">
        <v>72</v>
      </c>
      <c r="B40" s="189"/>
      <c r="C40" s="189"/>
      <c r="D40" s="189"/>
      <c r="E40" s="189"/>
      <c r="F40" s="33"/>
      <c r="G40" s="189"/>
    </row>
    <row r="41" spans="1:8">
      <c r="A41" s="189" t="s">
        <v>73</v>
      </c>
      <c r="B41" s="189"/>
      <c r="C41" s="189"/>
      <c r="D41" s="189"/>
      <c r="E41" s="189"/>
      <c r="F41" s="33"/>
      <c r="G41" s="189"/>
    </row>
    <row r="42" spans="1:8">
      <c r="A42" s="189" t="s">
        <v>103</v>
      </c>
    </row>
  </sheetData>
  <mergeCells count="16">
    <mergeCell ref="A7:H7"/>
    <mergeCell ref="A1:G1"/>
    <mergeCell ref="A3:B3"/>
    <mergeCell ref="G4:H4"/>
    <mergeCell ref="A5:G5"/>
    <mergeCell ref="A6:B6"/>
    <mergeCell ref="A27:A33"/>
    <mergeCell ref="A34:E34"/>
    <mergeCell ref="A35:E35"/>
    <mergeCell ref="A38:G38"/>
    <mergeCell ref="A8:A22"/>
    <mergeCell ref="B22:E22"/>
    <mergeCell ref="A23:A24"/>
    <mergeCell ref="B24:E24"/>
    <mergeCell ref="A25:E25"/>
    <mergeCell ref="A26:H26"/>
  </mergeCells>
  <phoneticPr fontId="1" type="noConversion"/>
  <dataValidations count="2">
    <dataValidation type="list" allowBlank="1" showInputMessage="1" showErrorMessage="1" sqref="B23">
      <formula1>"學生獎學金,學生獎助金"</formula1>
    </dataValidation>
    <dataValidation type="list" allowBlank="1" showInputMessage="1" showErrorMessage="1" sqref="B8:B21">
      <formula1>"講座鐘點費(內聘),講座鐘點費(外聘), 講座助理鐘點費,授課鐘點費,諮詢費,指導費,稿費,裁判費,印刷費,資料蒐集費,國內旅費,膳宿費,租車費,材料費,物品費,保險費,場地使用費,全民健康保險補充保費,設備使用費,工讀費,設備維護費,軟體設計費,軟體授權費,雜支(包含耗材)"</formula1>
    </dataValidation>
  </dataValidations>
  <printOptions horizontalCentered="1" verticalCentered="1"/>
  <pageMargins left="0.27559055118110237" right="0.19685039370078741" top="0.31496062992125984" bottom="0.23622047244094491" header="0.31496062992125984" footer="0.15748031496062992"/>
  <pageSetup paperSize="9" scale="52" orientation="portrait" r:id="rId1"/>
  <headerFooter>
    <oddFooter>第 &amp;P 頁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view="pageBreakPreview" topLeftCell="A25" zoomScaleNormal="100" zoomScaleSheetLayoutView="100" workbookViewId="0">
      <selection activeCell="B29" sqref="B29"/>
    </sheetView>
  </sheetViews>
  <sheetFormatPr defaultRowHeight="16.2"/>
  <cols>
    <col min="1" max="1" width="8" customWidth="1"/>
    <col min="2" max="2" width="22.77734375" customWidth="1"/>
    <col min="3" max="5" width="9.33203125" customWidth="1"/>
    <col min="6" max="6" width="9.33203125" style="17" customWidth="1"/>
    <col min="7" max="7" width="44.109375" customWidth="1"/>
    <col min="8" max="8" width="6.109375" customWidth="1"/>
    <col min="9" max="9" width="15.88671875" customWidth="1"/>
    <col min="10" max="10" width="12.33203125" customWidth="1"/>
    <col min="11" max="11" width="24.44140625" customWidth="1"/>
  </cols>
  <sheetData>
    <row r="1" spans="1:8" ht="22.2">
      <c r="A1" s="332" t="s">
        <v>319</v>
      </c>
      <c r="B1" s="295"/>
      <c r="C1" s="295"/>
      <c r="D1" s="295"/>
      <c r="E1" s="295"/>
      <c r="F1" s="295"/>
      <c r="G1" s="295"/>
    </row>
    <row r="3" spans="1:8">
      <c r="A3" s="350" t="s">
        <v>368</v>
      </c>
      <c r="B3" s="351"/>
    </row>
    <row r="4" spans="1:8">
      <c r="A4" s="18" t="s">
        <v>386</v>
      </c>
      <c r="G4" s="347" t="s">
        <v>3</v>
      </c>
      <c r="H4" s="347"/>
    </row>
    <row r="5" spans="1:8" ht="16.8" thickBot="1">
      <c r="A5" s="353" t="s">
        <v>128</v>
      </c>
      <c r="B5" s="354"/>
      <c r="C5" s="354"/>
      <c r="D5" s="354"/>
      <c r="E5" s="354"/>
      <c r="F5" s="354"/>
      <c r="G5" s="354"/>
      <c r="H5" s="190"/>
    </row>
    <row r="6" spans="1:8" ht="31.5" customHeight="1">
      <c r="A6" s="334" t="s">
        <v>32</v>
      </c>
      <c r="B6" s="335"/>
      <c r="C6" s="188" t="s">
        <v>5</v>
      </c>
      <c r="D6" s="188" t="s">
        <v>6</v>
      </c>
      <c r="E6" s="95" t="s">
        <v>7</v>
      </c>
      <c r="F6" s="96" t="s">
        <v>8</v>
      </c>
      <c r="G6" s="97" t="s">
        <v>9</v>
      </c>
      <c r="H6" s="99" t="s">
        <v>102</v>
      </c>
    </row>
    <row r="7" spans="1:8" ht="24" customHeight="1">
      <c r="A7" s="346" t="s">
        <v>87</v>
      </c>
      <c r="B7" s="346"/>
      <c r="C7" s="346"/>
      <c r="D7" s="346"/>
      <c r="E7" s="346"/>
      <c r="F7" s="346"/>
      <c r="G7" s="346"/>
      <c r="H7" s="346"/>
    </row>
    <row r="8" spans="1:8" ht="77.400000000000006" customHeight="1">
      <c r="A8" s="336" t="s">
        <v>10</v>
      </c>
      <c r="B8" s="76" t="s">
        <v>177</v>
      </c>
      <c r="C8" s="75" t="s">
        <v>136</v>
      </c>
      <c r="D8" s="75">
        <v>20</v>
      </c>
      <c r="E8" s="194">
        <v>1</v>
      </c>
      <c r="F8" s="195">
        <f>D8*E8</f>
        <v>20</v>
      </c>
      <c r="G8" s="89" t="s">
        <v>380</v>
      </c>
      <c r="H8" s="98"/>
    </row>
    <row r="9" spans="1:8" ht="60" customHeight="1">
      <c r="A9" s="336"/>
      <c r="B9" s="76" t="s">
        <v>197</v>
      </c>
      <c r="C9" s="20" t="s">
        <v>136</v>
      </c>
      <c r="D9" s="20">
        <v>32</v>
      </c>
      <c r="E9" s="196">
        <v>2</v>
      </c>
      <c r="F9" s="195">
        <f t="shared" ref="F9:F21" si="0">D9*E9</f>
        <v>64</v>
      </c>
      <c r="G9" s="90" t="s">
        <v>369</v>
      </c>
      <c r="H9" s="93"/>
    </row>
    <row r="10" spans="1:8" ht="36.6" customHeight="1">
      <c r="A10" s="336"/>
      <c r="B10" s="76" t="s">
        <v>137</v>
      </c>
      <c r="C10" s="20" t="s">
        <v>136</v>
      </c>
      <c r="D10" s="20">
        <v>20</v>
      </c>
      <c r="E10" s="196">
        <v>1</v>
      </c>
      <c r="F10" s="195">
        <f t="shared" si="0"/>
        <v>20</v>
      </c>
      <c r="G10" s="90" t="s">
        <v>381</v>
      </c>
      <c r="H10" s="93"/>
    </row>
    <row r="11" spans="1:8" ht="33" customHeight="1">
      <c r="A11" s="336"/>
      <c r="B11" s="76" t="s">
        <v>138</v>
      </c>
      <c r="C11" s="20" t="s">
        <v>136</v>
      </c>
      <c r="D11" s="20">
        <v>12</v>
      </c>
      <c r="E11" s="196">
        <v>0.4</v>
      </c>
      <c r="F11" s="195">
        <f t="shared" si="0"/>
        <v>4.8000000000000007</v>
      </c>
      <c r="G11" s="90" t="s">
        <v>370</v>
      </c>
      <c r="H11" s="93"/>
    </row>
    <row r="12" spans="1:8" ht="24" customHeight="1">
      <c r="A12" s="336"/>
      <c r="B12" s="76" t="s">
        <v>138</v>
      </c>
      <c r="C12" s="20" t="s">
        <v>136</v>
      </c>
      <c r="D12" s="20">
        <v>20</v>
      </c>
      <c r="E12" s="196">
        <v>0.55000000000000004</v>
      </c>
      <c r="F12" s="195">
        <f t="shared" si="0"/>
        <v>11</v>
      </c>
      <c r="G12" s="90" t="s">
        <v>371</v>
      </c>
      <c r="H12" s="93"/>
    </row>
    <row r="13" spans="1:8" ht="24" customHeight="1">
      <c r="A13" s="336"/>
      <c r="B13" s="76" t="s">
        <v>141</v>
      </c>
      <c r="C13" s="20" t="s">
        <v>372</v>
      </c>
      <c r="D13" s="20">
        <v>60</v>
      </c>
      <c r="E13" s="196">
        <v>0.03</v>
      </c>
      <c r="F13" s="195">
        <f t="shared" si="0"/>
        <v>1.7999999999999998</v>
      </c>
      <c r="G13" s="90" t="s">
        <v>373</v>
      </c>
      <c r="H13" s="93"/>
    </row>
    <row r="14" spans="1:8" ht="24" customHeight="1">
      <c r="A14" s="336"/>
      <c r="B14" s="76" t="s">
        <v>143</v>
      </c>
      <c r="C14" s="20" t="s">
        <v>140</v>
      </c>
      <c r="D14" s="20">
        <v>8</v>
      </c>
      <c r="E14" s="196">
        <v>1</v>
      </c>
      <c r="F14" s="195">
        <f t="shared" si="0"/>
        <v>8</v>
      </c>
      <c r="G14" s="90" t="s">
        <v>374</v>
      </c>
      <c r="H14" s="93"/>
    </row>
    <row r="15" spans="1:8" ht="24" customHeight="1">
      <c r="A15" s="336"/>
      <c r="B15" s="76" t="s">
        <v>144</v>
      </c>
      <c r="C15" s="20" t="s">
        <v>145</v>
      </c>
      <c r="D15" s="20">
        <v>100</v>
      </c>
      <c r="E15" s="196">
        <v>0.08</v>
      </c>
      <c r="F15" s="195">
        <f t="shared" si="0"/>
        <v>8</v>
      </c>
      <c r="G15" s="90" t="s">
        <v>375</v>
      </c>
      <c r="H15" s="93"/>
    </row>
    <row r="16" spans="1:8" ht="24" customHeight="1">
      <c r="A16" s="336"/>
      <c r="B16" s="76" t="s">
        <v>146</v>
      </c>
      <c r="C16" s="20" t="s">
        <v>147</v>
      </c>
      <c r="D16" s="20">
        <v>2</v>
      </c>
      <c r="E16" s="196">
        <v>12</v>
      </c>
      <c r="F16" s="195">
        <f t="shared" si="0"/>
        <v>24</v>
      </c>
      <c r="G16" s="90" t="s">
        <v>379</v>
      </c>
      <c r="H16" s="93"/>
    </row>
    <row r="17" spans="1:8" ht="24" customHeight="1">
      <c r="A17" s="336"/>
      <c r="B17" s="76" t="s">
        <v>148</v>
      </c>
      <c r="C17" s="20" t="s">
        <v>140</v>
      </c>
      <c r="D17" s="20">
        <v>185</v>
      </c>
      <c r="E17" s="196">
        <v>0.2</v>
      </c>
      <c r="F17" s="195">
        <f t="shared" si="0"/>
        <v>37</v>
      </c>
      <c r="G17" s="90" t="s">
        <v>377</v>
      </c>
      <c r="H17" s="93"/>
    </row>
    <row r="18" spans="1:8" ht="24" customHeight="1">
      <c r="A18" s="336"/>
      <c r="B18" s="76" t="s">
        <v>150</v>
      </c>
      <c r="C18" s="20" t="s">
        <v>461</v>
      </c>
      <c r="D18" s="20">
        <v>40</v>
      </c>
      <c r="E18" s="196">
        <v>7.0000000000000007E-2</v>
      </c>
      <c r="F18" s="195">
        <f t="shared" si="0"/>
        <v>2.8000000000000003</v>
      </c>
      <c r="G18" s="90" t="s">
        <v>378</v>
      </c>
      <c r="H18" s="93"/>
    </row>
    <row r="19" spans="1:8" ht="24" customHeight="1">
      <c r="A19" s="336"/>
      <c r="B19" s="76" t="s">
        <v>151</v>
      </c>
      <c r="C19" s="20" t="s">
        <v>376</v>
      </c>
      <c r="D19" s="20">
        <v>2</v>
      </c>
      <c r="E19" s="196">
        <v>6</v>
      </c>
      <c r="F19" s="195">
        <f t="shared" si="0"/>
        <v>12</v>
      </c>
      <c r="G19" s="90" t="s">
        <v>378</v>
      </c>
      <c r="H19" s="93"/>
    </row>
    <row r="20" spans="1:8" ht="24" customHeight="1">
      <c r="A20" s="336"/>
      <c r="B20" s="76" t="s">
        <v>154</v>
      </c>
      <c r="C20" s="20" t="s">
        <v>155</v>
      </c>
      <c r="D20" s="20">
        <v>1</v>
      </c>
      <c r="E20" s="196">
        <v>1.55</v>
      </c>
      <c r="F20" s="195">
        <f t="shared" si="0"/>
        <v>1.55</v>
      </c>
      <c r="G20" s="90" t="s">
        <v>382</v>
      </c>
      <c r="H20" s="93"/>
    </row>
    <row r="21" spans="1:8" ht="24" customHeight="1">
      <c r="A21" s="336"/>
      <c r="B21" s="76" t="s">
        <v>158</v>
      </c>
      <c r="C21" s="20" t="s">
        <v>155</v>
      </c>
      <c r="D21" s="20">
        <v>1</v>
      </c>
      <c r="E21" s="196">
        <v>5.05</v>
      </c>
      <c r="F21" s="195">
        <f t="shared" si="0"/>
        <v>5.05</v>
      </c>
      <c r="G21" s="90" t="s">
        <v>383</v>
      </c>
      <c r="H21" s="93"/>
    </row>
    <row r="22" spans="1:8" ht="24" customHeight="1">
      <c r="A22" s="337"/>
      <c r="B22" s="338" t="s">
        <v>88</v>
      </c>
      <c r="C22" s="339"/>
      <c r="D22" s="339"/>
      <c r="E22" s="340"/>
      <c r="F22" s="198">
        <f>SUM(F3:F21)</f>
        <v>220.00000000000003</v>
      </c>
      <c r="G22" s="81"/>
      <c r="H22" s="93"/>
    </row>
    <row r="23" spans="1:8" ht="24" customHeight="1">
      <c r="A23" s="344" t="s">
        <v>60</v>
      </c>
      <c r="B23" s="21"/>
      <c r="C23" s="19"/>
      <c r="D23" s="19"/>
      <c r="E23" s="46"/>
      <c r="F23" s="195"/>
      <c r="G23" s="89" t="s">
        <v>4</v>
      </c>
      <c r="H23" s="93"/>
    </row>
    <row r="24" spans="1:8" ht="24" customHeight="1">
      <c r="A24" s="345"/>
      <c r="B24" s="21"/>
      <c r="C24" s="79"/>
      <c r="D24" s="79"/>
      <c r="E24" s="80"/>
      <c r="F24" s="197"/>
      <c r="G24" s="90"/>
      <c r="H24" s="93"/>
    </row>
    <row r="25" spans="1:8" ht="24" customHeight="1">
      <c r="A25" s="345"/>
      <c r="B25" s="341" t="s">
        <v>88</v>
      </c>
      <c r="C25" s="342"/>
      <c r="D25" s="342"/>
      <c r="E25" s="343"/>
      <c r="F25" s="200"/>
      <c r="G25" s="92"/>
      <c r="H25" s="93"/>
    </row>
    <row r="26" spans="1:8" ht="24" customHeight="1">
      <c r="A26" s="333" t="s">
        <v>89</v>
      </c>
      <c r="B26" s="333"/>
      <c r="C26" s="333"/>
      <c r="D26" s="333"/>
      <c r="E26" s="333"/>
      <c r="F26" s="198">
        <f>SUM(F25,F22)</f>
        <v>220.00000000000003</v>
      </c>
      <c r="G26" s="90"/>
      <c r="H26" s="93"/>
    </row>
    <row r="27" spans="1:8" ht="24" customHeight="1">
      <c r="A27" s="357" t="s">
        <v>90</v>
      </c>
      <c r="B27" s="358"/>
      <c r="C27" s="358"/>
      <c r="D27" s="358"/>
      <c r="E27" s="358"/>
      <c r="F27" s="358"/>
      <c r="G27" s="358"/>
      <c r="H27" s="359"/>
    </row>
    <row r="28" spans="1:8" ht="24" customHeight="1">
      <c r="A28" s="360" t="s">
        <v>42</v>
      </c>
      <c r="B28" s="21" t="s">
        <v>4</v>
      </c>
      <c r="C28" s="20" t="s">
        <v>4</v>
      </c>
      <c r="D28" s="20"/>
      <c r="E28" s="45"/>
      <c r="F28" s="197"/>
      <c r="G28" s="90" t="s">
        <v>4</v>
      </c>
      <c r="H28" s="93"/>
    </row>
    <row r="29" spans="1:8" ht="24" customHeight="1">
      <c r="A29" s="360"/>
      <c r="B29" s="21"/>
      <c r="C29" s="20"/>
      <c r="D29" s="20"/>
      <c r="E29" s="45"/>
      <c r="F29" s="197"/>
      <c r="G29" s="90"/>
      <c r="H29" s="93"/>
    </row>
    <row r="30" spans="1:8" ht="24" customHeight="1">
      <c r="A30" s="360"/>
      <c r="B30" s="21"/>
      <c r="C30" s="20"/>
      <c r="D30" s="20"/>
      <c r="E30" s="45"/>
      <c r="F30" s="197"/>
      <c r="G30" s="90"/>
      <c r="H30" s="93"/>
    </row>
    <row r="31" spans="1:8" ht="24" customHeight="1">
      <c r="A31" s="360"/>
      <c r="B31" s="21"/>
      <c r="C31" s="20"/>
      <c r="D31" s="20"/>
      <c r="E31" s="45"/>
      <c r="F31" s="197"/>
      <c r="G31" s="90"/>
      <c r="H31" s="93"/>
    </row>
    <row r="32" spans="1:8" ht="24" customHeight="1">
      <c r="A32" s="360"/>
      <c r="B32" s="21" t="s">
        <v>4</v>
      </c>
      <c r="C32" s="20" t="s">
        <v>4</v>
      </c>
      <c r="D32" s="20"/>
      <c r="E32" s="45"/>
      <c r="F32" s="197"/>
      <c r="G32" s="90" t="s">
        <v>4</v>
      </c>
      <c r="H32" s="93"/>
    </row>
    <row r="33" spans="1:8" ht="24" customHeight="1">
      <c r="A33" s="333" t="s">
        <v>91</v>
      </c>
      <c r="B33" s="333"/>
      <c r="C33" s="333"/>
      <c r="D33" s="333"/>
      <c r="E33" s="333"/>
      <c r="F33" s="198">
        <f>SUM(F28:F32)</f>
        <v>0</v>
      </c>
      <c r="G33" s="90"/>
      <c r="H33" s="93"/>
    </row>
    <row r="34" spans="1:8" ht="24" customHeight="1" thickBot="1">
      <c r="A34" s="348" t="s">
        <v>127</v>
      </c>
      <c r="B34" s="349"/>
      <c r="C34" s="349"/>
      <c r="D34" s="349"/>
      <c r="E34" s="349"/>
      <c r="F34" s="199">
        <f>SUM(F26,F33)</f>
        <v>220.00000000000003</v>
      </c>
      <c r="G34" s="91"/>
      <c r="H34" s="100"/>
    </row>
    <row r="35" spans="1:8">
      <c r="A35" s="5" t="s">
        <v>469</v>
      </c>
    </row>
    <row r="36" spans="1:8" ht="52.2" customHeight="1"/>
    <row r="37" spans="1:8">
      <c r="A37" s="352" t="s">
        <v>70</v>
      </c>
      <c r="B37" s="352"/>
      <c r="C37" s="352"/>
      <c r="D37" s="352"/>
      <c r="E37" s="352"/>
      <c r="F37" s="352"/>
      <c r="G37" s="352"/>
    </row>
    <row r="38" spans="1:8">
      <c r="A38" s="189" t="s">
        <v>71</v>
      </c>
      <c r="B38" s="189"/>
      <c r="C38" s="189"/>
      <c r="D38" s="189"/>
      <c r="E38" s="189"/>
      <c r="F38" s="33"/>
      <c r="G38" s="189"/>
    </row>
    <row r="39" spans="1:8">
      <c r="A39" s="189" t="s">
        <v>72</v>
      </c>
      <c r="B39" s="189"/>
      <c r="C39" s="189"/>
      <c r="D39" s="189"/>
      <c r="E39" s="189"/>
      <c r="F39" s="33"/>
      <c r="G39" s="189"/>
    </row>
    <row r="40" spans="1:8">
      <c r="A40" s="189" t="s">
        <v>73</v>
      </c>
      <c r="B40" s="189"/>
      <c r="C40" s="189"/>
      <c r="D40" s="189"/>
      <c r="E40" s="189"/>
      <c r="F40" s="33"/>
      <c r="G40" s="189"/>
    </row>
    <row r="41" spans="1:8">
      <c r="A41" s="189" t="s">
        <v>103</v>
      </c>
    </row>
  </sheetData>
  <mergeCells count="16">
    <mergeCell ref="A7:H7"/>
    <mergeCell ref="A1:G1"/>
    <mergeCell ref="A3:B3"/>
    <mergeCell ref="G4:H4"/>
    <mergeCell ref="A5:G5"/>
    <mergeCell ref="A6:B6"/>
    <mergeCell ref="A28:A32"/>
    <mergeCell ref="A33:E33"/>
    <mergeCell ref="A34:E34"/>
    <mergeCell ref="A37:G37"/>
    <mergeCell ref="A8:A22"/>
    <mergeCell ref="B22:E22"/>
    <mergeCell ref="A23:A25"/>
    <mergeCell ref="B25:E25"/>
    <mergeCell ref="A26:E26"/>
    <mergeCell ref="A27:H27"/>
  </mergeCells>
  <phoneticPr fontId="1" type="noConversion"/>
  <dataValidations count="2">
    <dataValidation type="list" allowBlank="1" showInputMessage="1" showErrorMessage="1" sqref="B8:B21">
      <formula1>"講座鐘點費(內聘),講座鐘點費(外聘), 講座助理鐘點費,授課鐘點費,諮詢費,指導費,稿費,裁判費,印刷費,資料蒐集費,國內旅費,膳宿費,租車費,材料費,物品費,保險費,場地使用費,全民健康保險補充保費,設備使用費,工讀費,設備維護費,軟體設計費,軟體授權費,雜支(包含耗材)"</formula1>
    </dataValidation>
    <dataValidation type="list" allowBlank="1" showInputMessage="1" showErrorMessage="1" sqref="B23:B24">
      <formula1>"學生獎學金,學生獎助金"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Footer>第 &amp;P 頁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view="pageBreakPreview" zoomScale="85" zoomScaleNormal="100" zoomScaleSheetLayoutView="85" workbookViewId="0">
      <pane xSplit="1" ySplit="7" topLeftCell="B20" activePane="bottomRight" state="frozen"/>
      <selection pane="topRight" activeCell="B1" sqref="B1"/>
      <selection pane="bottomLeft" activeCell="A8" sqref="A8"/>
      <selection pane="bottomRight" activeCell="E25" sqref="E25"/>
    </sheetView>
  </sheetViews>
  <sheetFormatPr defaultRowHeight="16.2"/>
  <cols>
    <col min="1" max="1" width="8" customWidth="1"/>
    <col min="2" max="2" width="20.44140625" customWidth="1"/>
    <col min="3" max="3" width="5.109375" customWidth="1"/>
    <col min="4" max="4" width="6.88671875" customWidth="1"/>
    <col min="5" max="5" width="9.33203125" customWidth="1"/>
    <col min="6" max="6" width="9.88671875" style="17" bestFit="1" customWidth="1"/>
    <col min="7" max="7" width="55.33203125" customWidth="1"/>
    <col min="8" max="8" width="6.109375" customWidth="1"/>
    <col min="9" max="9" width="15.88671875" customWidth="1"/>
    <col min="10" max="10" width="12.33203125" customWidth="1"/>
    <col min="11" max="11" width="24.44140625" customWidth="1"/>
  </cols>
  <sheetData>
    <row r="1" spans="1:8" ht="22.2">
      <c r="A1" s="332" t="s">
        <v>318</v>
      </c>
      <c r="B1" s="295"/>
      <c r="C1" s="295"/>
      <c r="D1" s="295"/>
      <c r="E1" s="295"/>
      <c r="F1" s="295"/>
      <c r="G1" s="295"/>
    </row>
    <row r="3" spans="1:8">
      <c r="A3" s="350" t="s">
        <v>384</v>
      </c>
      <c r="B3" s="351"/>
    </row>
    <row r="4" spans="1:8">
      <c r="A4" s="18" t="s">
        <v>385</v>
      </c>
      <c r="G4" s="347" t="s">
        <v>3</v>
      </c>
      <c r="H4" s="347"/>
    </row>
    <row r="5" spans="1:8" ht="16.8" thickBot="1">
      <c r="A5" s="353" t="s">
        <v>126</v>
      </c>
      <c r="B5" s="354"/>
      <c r="C5" s="354"/>
      <c r="D5" s="354"/>
      <c r="E5" s="354"/>
      <c r="F5" s="354"/>
      <c r="G5" s="354"/>
      <c r="H5" s="190"/>
    </row>
    <row r="6" spans="1:8" ht="31.5" customHeight="1">
      <c r="A6" s="334" t="s">
        <v>32</v>
      </c>
      <c r="B6" s="335"/>
      <c r="C6" s="188" t="s">
        <v>5</v>
      </c>
      <c r="D6" s="188" t="s">
        <v>6</v>
      </c>
      <c r="E6" s="95" t="s">
        <v>7</v>
      </c>
      <c r="F6" s="96" t="s">
        <v>8</v>
      </c>
      <c r="G6" s="97" t="s">
        <v>9</v>
      </c>
      <c r="H6" s="101" t="s">
        <v>102</v>
      </c>
    </row>
    <row r="7" spans="1:8" ht="24" customHeight="1">
      <c r="A7" s="346" t="s">
        <v>87</v>
      </c>
      <c r="B7" s="346"/>
      <c r="C7" s="346"/>
      <c r="D7" s="346"/>
      <c r="E7" s="346"/>
      <c r="F7" s="346"/>
      <c r="G7" s="346"/>
      <c r="H7" s="346"/>
    </row>
    <row r="8" spans="1:8" ht="74.400000000000006" customHeight="1">
      <c r="A8" s="336" t="s">
        <v>10</v>
      </c>
      <c r="B8" s="76" t="s">
        <v>197</v>
      </c>
      <c r="C8" s="75" t="s">
        <v>136</v>
      </c>
      <c r="D8" s="75">
        <v>4</v>
      </c>
      <c r="E8" s="194">
        <v>2</v>
      </c>
      <c r="F8" s="195">
        <f>D8*E8</f>
        <v>8</v>
      </c>
      <c r="G8" s="192" t="s">
        <v>217</v>
      </c>
      <c r="H8" s="98"/>
    </row>
    <row r="9" spans="1:8" ht="98.4" customHeight="1">
      <c r="A9" s="336"/>
      <c r="B9" s="76" t="s">
        <v>138</v>
      </c>
      <c r="C9" s="20" t="s">
        <v>136</v>
      </c>
      <c r="D9" s="20">
        <v>8</v>
      </c>
      <c r="E9" s="196">
        <v>0.4</v>
      </c>
      <c r="F9" s="195">
        <f t="shared" ref="F9:F17" si="0">D9*E9</f>
        <v>3.2</v>
      </c>
      <c r="G9" s="193" t="s">
        <v>388</v>
      </c>
      <c r="H9" s="93"/>
    </row>
    <row r="10" spans="1:8" ht="47.4" customHeight="1">
      <c r="A10" s="336"/>
      <c r="B10" s="76" t="s">
        <v>141</v>
      </c>
      <c r="C10" s="20" t="s">
        <v>389</v>
      </c>
      <c r="D10" s="20">
        <v>20</v>
      </c>
      <c r="E10" s="196">
        <v>0.03</v>
      </c>
      <c r="F10" s="195">
        <f t="shared" si="0"/>
        <v>0.6</v>
      </c>
      <c r="G10" s="193" t="s">
        <v>392</v>
      </c>
      <c r="H10" s="93"/>
    </row>
    <row r="11" spans="1:8" ht="54" customHeight="1">
      <c r="A11" s="336"/>
      <c r="B11" s="76" t="s">
        <v>142</v>
      </c>
      <c r="C11" s="20" t="s">
        <v>205</v>
      </c>
      <c r="D11" s="20">
        <v>1</v>
      </c>
      <c r="E11" s="196">
        <v>3</v>
      </c>
      <c r="F11" s="195">
        <f t="shared" si="0"/>
        <v>3</v>
      </c>
      <c r="G11" s="193" t="s">
        <v>390</v>
      </c>
      <c r="H11" s="93"/>
    </row>
    <row r="12" spans="1:8" ht="44.4" customHeight="1">
      <c r="A12" s="336"/>
      <c r="B12" s="76" t="s">
        <v>143</v>
      </c>
      <c r="C12" s="20" t="s">
        <v>140</v>
      </c>
      <c r="D12" s="20">
        <v>2</v>
      </c>
      <c r="E12" s="196">
        <v>1</v>
      </c>
      <c r="F12" s="195">
        <f t="shared" si="0"/>
        <v>2</v>
      </c>
      <c r="G12" s="193" t="s">
        <v>394</v>
      </c>
      <c r="H12" s="93"/>
    </row>
    <row r="13" spans="1:8" ht="44.4" customHeight="1">
      <c r="A13" s="336"/>
      <c r="B13" s="76" t="s">
        <v>144</v>
      </c>
      <c r="C13" s="20" t="s">
        <v>145</v>
      </c>
      <c r="D13" s="20">
        <v>20</v>
      </c>
      <c r="E13" s="196">
        <v>0.08</v>
      </c>
      <c r="F13" s="195">
        <f t="shared" si="0"/>
        <v>1.6</v>
      </c>
      <c r="G13" s="193" t="s">
        <v>396</v>
      </c>
      <c r="H13" s="93"/>
    </row>
    <row r="14" spans="1:8" ht="69" customHeight="1">
      <c r="A14" s="336"/>
      <c r="B14" s="76" t="s">
        <v>148</v>
      </c>
      <c r="C14" s="20" t="s">
        <v>140</v>
      </c>
      <c r="D14" s="20">
        <v>20</v>
      </c>
      <c r="E14" s="196">
        <v>0.2</v>
      </c>
      <c r="F14" s="195">
        <f t="shared" si="0"/>
        <v>4</v>
      </c>
      <c r="G14" s="193" t="s">
        <v>398</v>
      </c>
      <c r="H14" s="93"/>
    </row>
    <row r="15" spans="1:8" ht="30.6" customHeight="1">
      <c r="A15" s="336"/>
      <c r="B15" s="76" t="s">
        <v>154</v>
      </c>
      <c r="C15" s="20" t="s">
        <v>155</v>
      </c>
      <c r="D15" s="20">
        <v>1</v>
      </c>
      <c r="E15" s="196">
        <v>0.21</v>
      </c>
      <c r="F15" s="195">
        <f t="shared" si="0"/>
        <v>0.21</v>
      </c>
      <c r="G15" s="193" t="s">
        <v>224</v>
      </c>
      <c r="H15" s="93"/>
    </row>
    <row r="16" spans="1:8" ht="30.6" customHeight="1">
      <c r="A16" s="336"/>
      <c r="B16" s="76" t="s">
        <v>157</v>
      </c>
      <c r="C16" s="20" t="s">
        <v>156</v>
      </c>
      <c r="D16" s="20">
        <v>1</v>
      </c>
      <c r="E16" s="196">
        <v>5</v>
      </c>
      <c r="F16" s="195">
        <f t="shared" si="0"/>
        <v>5</v>
      </c>
      <c r="G16" s="193" t="s">
        <v>225</v>
      </c>
      <c r="H16" s="93"/>
    </row>
    <row r="17" spans="1:8" ht="30.6" customHeight="1">
      <c r="A17" s="336"/>
      <c r="B17" s="76" t="s">
        <v>158</v>
      </c>
      <c r="C17" s="20" t="s">
        <v>155</v>
      </c>
      <c r="D17" s="20">
        <v>1</v>
      </c>
      <c r="E17" s="196">
        <v>2.39</v>
      </c>
      <c r="F17" s="195">
        <f t="shared" si="0"/>
        <v>2.39</v>
      </c>
      <c r="G17" s="193" t="s">
        <v>400</v>
      </c>
      <c r="H17" s="93"/>
    </row>
    <row r="18" spans="1:8" ht="49.2" customHeight="1">
      <c r="A18" s="336"/>
      <c r="B18" s="76"/>
      <c r="C18" s="20"/>
      <c r="D18" s="20"/>
      <c r="E18" s="196"/>
      <c r="F18" s="195"/>
      <c r="G18" s="193"/>
      <c r="H18" s="93"/>
    </row>
    <row r="19" spans="1:8" ht="24" customHeight="1">
      <c r="A19" s="337"/>
      <c r="B19" s="338" t="s">
        <v>88</v>
      </c>
      <c r="C19" s="339"/>
      <c r="D19" s="339"/>
      <c r="E19" s="340"/>
      <c r="F19" s="195">
        <f>SUM(F8:F18)</f>
        <v>30</v>
      </c>
      <c r="G19" s="81"/>
      <c r="H19" s="93"/>
    </row>
    <row r="20" spans="1:8" ht="24" customHeight="1">
      <c r="A20" s="344" t="s">
        <v>60</v>
      </c>
      <c r="B20" s="21"/>
      <c r="C20" s="19"/>
      <c r="D20" s="19"/>
      <c r="E20" s="46"/>
      <c r="F20" s="195"/>
      <c r="G20" s="89" t="s">
        <v>4</v>
      </c>
      <c r="H20" s="93"/>
    </row>
    <row r="21" spans="1:8" ht="24" customHeight="1">
      <c r="A21" s="345"/>
      <c r="B21" s="341" t="s">
        <v>88</v>
      </c>
      <c r="C21" s="342"/>
      <c r="D21" s="342"/>
      <c r="E21" s="343"/>
      <c r="F21" s="195"/>
      <c r="G21" s="92"/>
      <c r="H21" s="93"/>
    </row>
    <row r="22" spans="1:8" ht="24" customHeight="1">
      <c r="A22" s="333" t="s">
        <v>89</v>
      </c>
      <c r="B22" s="333"/>
      <c r="C22" s="333"/>
      <c r="D22" s="333"/>
      <c r="E22" s="333"/>
      <c r="F22" s="195">
        <f>SUM(F21,F19)</f>
        <v>30</v>
      </c>
      <c r="G22" s="90"/>
      <c r="H22" s="93"/>
    </row>
    <row r="23" spans="1:8" ht="24" customHeight="1">
      <c r="A23" s="357" t="s">
        <v>90</v>
      </c>
      <c r="B23" s="358"/>
      <c r="C23" s="358"/>
      <c r="D23" s="358"/>
      <c r="E23" s="358"/>
      <c r="F23" s="358"/>
      <c r="G23" s="358"/>
      <c r="H23" s="359"/>
    </row>
    <row r="24" spans="1:8" ht="24" customHeight="1">
      <c r="A24" s="355" t="s">
        <v>42</v>
      </c>
      <c r="B24" s="21"/>
      <c r="C24" s="20"/>
      <c r="D24" s="20"/>
      <c r="E24" s="45"/>
      <c r="F24" s="197"/>
      <c r="G24" s="90"/>
      <c r="H24" s="93"/>
    </row>
    <row r="25" spans="1:8" ht="24" customHeight="1">
      <c r="A25" s="356"/>
      <c r="B25" s="21"/>
      <c r="C25" s="20"/>
      <c r="D25" s="20"/>
      <c r="E25" s="45"/>
      <c r="F25" s="197"/>
      <c r="G25" s="90"/>
      <c r="H25" s="93"/>
    </row>
    <row r="26" spans="1:8" ht="24" customHeight="1">
      <c r="A26" s="356"/>
      <c r="B26" s="21"/>
      <c r="C26" s="20"/>
      <c r="D26" s="20"/>
      <c r="E26" s="45"/>
      <c r="F26" s="197"/>
      <c r="G26" s="90"/>
      <c r="H26" s="93"/>
    </row>
    <row r="27" spans="1:8" ht="24" customHeight="1">
      <c r="A27" s="333" t="s">
        <v>91</v>
      </c>
      <c r="B27" s="333"/>
      <c r="C27" s="333"/>
      <c r="D27" s="333"/>
      <c r="E27" s="333"/>
      <c r="F27" s="198">
        <f>SUM(F24:F26)</f>
        <v>0</v>
      </c>
      <c r="G27" s="90"/>
      <c r="H27" s="93"/>
    </row>
    <row r="28" spans="1:8" ht="24" customHeight="1" thickBot="1">
      <c r="A28" s="348" t="s">
        <v>367</v>
      </c>
      <c r="B28" s="349"/>
      <c r="C28" s="349"/>
      <c r="D28" s="349"/>
      <c r="E28" s="349"/>
      <c r="F28" s="199">
        <f>SUM(F22,F27)</f>
        <v>30</v>
      </c>
      <c r="G28" s="91"/>
      <c r="H28" s="100"/>
    </row>
    <row r="29" spans="1:8">
      <c r="A29" s="5" t="s">
        <v>470</v>
      </c>
    </row>
    <row r="30" spans="1:8" ht="41.4" customHeight="1"/>
    <row r="31" spans="1:8">
      <c r="A31" s="352" t="s">
        <v>70</v>
      </c>
      <c r="B31" s="352"/>
      <c r="C31" s="352"/>
      <c r="D31" s="352"/>
      <c r="E31" s="352"/>
      <c r="F31" s="352"/>
      <c r="G31" s="352"/>
    </row>
    <row r="32" spans="1:8">
      <c r="A32" s="189" t="s">
        <v>71</v>
      </c>
      <c r="B32" s="189"/>
      <c r="C32" s="189"/>
      <c r="D32" s="189"/>
      <c r="E32" s="189"/>
      <c r="F32" s="33"/>
      <c r="G32" s="189"/>
    </row>
    <row r="33" spans="1:7">
      <c r="A33" s="189" t="s">
        <v>72</v>
      </c>
      <c r="B33" s="189"/>
      <c r="C33" s="189"/>
      <c r="D33" s="189"/>
      <c r="E33" s="189"/>
      <c r="F33" s="33"/>
      <c r="G33" s="189"/>
    </row>
    <row r="34" spans="1:7">
      <c r="A34" s="189" t="s">
        <v>73</v>
      </c>
      <c r="B34" s="189"/>
      <c r="C34" s="189"/>
      <c r="D34" s="189"/>
      <c r="E34" s="189"/>
      <c r="F34" s="33"/>
      <c r="G34" s="189"/>
    </row>
    <row r="35" spans="1:7">
      <c r="A35" s="189" t="s">
        <v>103</v>
      </c>
    </row>
  </sheetData>
  <mergeCells count="16">
    <mergeCell ref="A7:H7"/>
    <mergeCell ref="A1:G1"/>
    <mergeCell ref="A3:B3"/>
    <mergeCell ref="G4:H4"/>
    <mergeCell ref="A5:G5"/>
    <mergeCell ref="A6:B6"/>
    <mergeCell ref="A24:A26"/>
    <mergeCell ref="A27:E27"/>
    <mergeCell ref="A28:E28"/>
    <mergeCell ref="A31:G31"/>
    <mergeCell ref="A8:A19"/>
    <mergeCell ref="B19:E19"/>
    <mergeCell ref="A20:A21"/>
    <mergeCell ref="B21:E21"/>
    <mergeCell ref="A22:E22"/>
    <mergeCell ref="A23:H23"/>
  </mergeCells>
  <phoneticPr fontId="1" type="noConversion"/>
  <dataValidations count="2">
    <dataValidation type="list" allowBlank="1" showInputMessage="1" showErrorMessage="1" sqref="B20">
      <formula1>"學生獎學金,學生獎助金"</formula1>
    </dataValidation>
    <dataValidation type="list" allowBlank="1" showInputMessage="1" showErrorMessage="1" sqref="B8:B18">
      <formula1>"講座鐘點費(內聘),講座鐘點費(外聘), 講座助理鐘點費,授課鐘點費,諮詢費,指導費,稿費,裁判費,印刷費,資料蒐集費,國內旅費,膳宿費,租車費,材料費,物品費,保險費,場地使用費,全民健康保險補充保費,設備使用費,工讀費,設備維護費,軟體設計費,軟體授權費,雜支(包含耗材)"</formula1>
    </dataValidation>
  </dataValidations>
  <printOptions horizontalCentered="1" verticalCentered="1"/>
  <pageMargins left="0.27559055118110237" right="0.19685039370078741" top="0.31496062992125984" bottom="0.23622047244094491" header="0.31496062992125984" footer="0.15748031496062992"/>
  <pageSetup paperSize="9" scale="67" orientation="portrait" r:id="rId1"/>
  <headerFooter>
    <oddFooter>第 &amp;P 頁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view="pageBreakPreview" topLeftCell="A15" zoomScaleNormal="100" zoomScaleSheetLayoutView="100" workbookViewId="0">
      <selection activeCell="G12" sqref="G12"/>
    </sheetView>
  </sheetViews>
  <sheetFormatPr defaultRowHeight="16.2"/>
  <cols>
    <col min="1" max="1" width="8" customWidth="1"/>
    <col min="2" max="2" width="22.77734375" customWidth="1"/>
    <col min="3" max="5" width="9.33203125" customWidth="1"/>
    <col min="6" max="6" width="9.33203125" style="17" customWidth="1"/>
    <col min="7" max="7" width="44.109375" customWidth="1"/>
    <col min="8" max="8" width="6.109375" customWidth="1"/>
    <col min="9" max="9" width="15.88671875" customWidth="1"/>
    <col min="10" max="10" width="12.33203125" customWidth="1"/>
    <col min="11" max="11" width="24.44140625" customWidth="1"/>
  </cols>
  <sheetData>
    <row r="1" spans="1:8" ht="22.2">
      <c r="A1" s="332" t="s">
        <v>319</v>
      </c>
      <c r="B1" s="295"/>
      <c r="C1" s="295"/>
      <c r="D1" s="295"/>
      <c r="E1" s="295"/>
      <c r="F1" s="295"/>
      <c r="G1" s="295"/>
    </row>
    <row r="3" spans="1:8">
      <c r="A3" s="350" t="s">
        <v>384</v>
      </c>
      <c r="B3" s="351"/>
    </row>
    <row r="4" spans="1:8">
      <c r="A4" s="18" t="s">
        <v>385</v>
      </c>
      <c r="G4" s="347" t="s">
        <v>3</v>
      </c>
      <c r="H4" s="347"/>
    </row>
    <row r="5" spans="1:8" ht="16.8" thickBot="1">
      <c r="A5" s="353" t="s">
        <v>128</v>
      </c>
      <c r="B5" s="354"/>
      <c r="C5" s="354"/>
      <c r="D5" s="354"/>
      <c r="E5" s="354"/>
      <c r="F5" s="354"/>
      <c r="G5" s="354"/>
      <c r="H5" s="190"/>
    </row>
    <row r="6" spans="1:8" ht="31.5" customHeight="1">
      <c r="A6" s="334" t="s">
        <v>32</v>
      </c>
      <c r="B6" s="335"/>
      <c r="C6" s="188" t="s">
        <v>5</v>
      </c>
      <c r="D6" s="188" t="s">
        <v>6</v>
      </c>
      <c r="E6" s="95" t="s">
        <v>7</v>
      </c>
      <c r="F6" s="96" t="s">
        <v>8</v>
      </c>
      <c r="G6" s="97" t="s">
        <v>9</v>
      </c>
      <c r="H6" s="99" t="s">
        <v>102</v>
      </c>
    </row>
    <row r="7" spans="1:8" ht="24" customHeight="1">
      <c r="A7" s="346" t="s">
        <v>87</v>
      </c>
      <c r="B7" s="346"/>
      <c r="C7" s="346"/>
      <c r="D7" s="346"/>
      <c r="E7" s="346"/>
      <c r="F7" s="346"/>
      <c r="G7" s="346"/>
      <c r="H7" s="346"/>
    </row>
    <row r="8" spans="1:8" ht="77.400000000000006" customHeight="1">
      <c r="A8" s="336" t="s">
        <v>10</v>
      </c>
      <c r="B8" s="76" t="s">
        <v>197</v>
      </c>
      <c r="C8" s="75" t="s">
        <v>136</v>
      </c>
      <c r="D8" s="75">
        <v>4</v>
      </c>
      <c r="E8" s="194">
        <v>2</v>
      </c>
      <c r="F8" s="195">
        <f>D8*E8</f>
        <v>8</v>
      </c>
      <c r="G8" s="89" t="s">
        <v>217</v>
      </c>
      <c r="H8" s="98"/>
    </row>
    <row r="9" spans="1:8" ht="60" customHeight="1">
      <c r="A9" s="336"/>
      <c r="B9" s="76" t="s">
        <v>138</v>
      </c>
      <c r="C9" s="20" t="s">
        <v>136</v>
      </c>
      <c r="D9" s="20">
        <v>8</v>
      </c>
      <c r="E9" s="196">
        <v>0.4</v>
      </c>
      <c r="F9" s="195">
        <f t="shared" ref="F9:F17" si="0">D9*E9</f>
        <v>3.2</v>
      </c>
      <c r="G9" s="90" t="s">
        <v>387</v>
      </c>
      <c r="H9" s="93"/>
    </row>
    <row r="10" spans="1:8" ht="36.6" customHeight="1">
      <c r="A10" s="336"/>
      <c r="B10" s="76" t="s">
        <v>141</v>
      </c>
      <c r="C10" s="20" t="s">
        <v>343</v>
      </c>
      <c r="D10" s="20">
        <v>20</v>
      </c>
      <c r="E10" s="196">
        <v>0.03</v>
      </c>
      <c r="F10" s="195">
        <f t="shared" si="0"/>
        <v>0.6</v>
      </c>
      <c r="G10" s="90" t="s">
        <v>391</v>
      </c>
      <c r="H10" s="93"/>
    </row>
    <row r="11" spans="1:8" ht="33" customHeight="1">
      <c r="A11" s="336"/>
      <c r="B11" s="76" t="s">
        <v>142</v>
      </c>
      <c r="C11" s="20" t="s">
        <v>205</v>
      </c>
      <c r="D11" s="20">
        <v>1</v>
      </c>
      <c r="E11" s="196">
        <v>3</v>
      </c>
      <c r="F11" s="195">
        <f t="shared" si="0"/>
        <v>3</v>
      </c>
      <c r="G11" s="90" t="s">
        <v>472</v>
      </c>
      <c r="H11" s="93"/>
    </row>
    <row r="12" spans="1:8" ht="24" customHeight="1">
      <c r="A12" s="336"/>
      <c r="B12" s="76" t="s">
        <v>143</v>
      </c>
      <c r="C12" s="20" t="s">
        <v>140</v>
      </c>
      <c r="D12" s="20">
        <v>2</v>
      </c>
      <c r="E12" s="196">
        <v>1</v>
      </c>
      <c r="F12" s="195">
        <f t="shared" si="0"/>
        <v>2</v>
      </c>
      <c r="G12" s="90" t="s">
        <v>393</v>
      </c>
      <c r="H12" s="93"/>
    </row>
    <row r="13" spans="1:8" ht="24" customHeight="1">
      <c r="A13" s="336"/>
      <c r="B13" s="76" t="s">
        <v>144</v>
      </c>
      <c r="C13" s="20" t="s">
        <v>145</v>
      </c>
      <c r="D13" s="20">
        <v>20</v>
      </c>
      <c r="E13" s="196">
        <v>0.08</v>
      </c>
      <c r="F13" s="195">
        <f t="shared" si="0"/>
        <v>1.6</v>
      </c>
      <c r="G13" s="90" t="s">
        <v>395</v>
      </c>
      <c r="H13" s="93"/>
    </row>
    <row r="14" spans="1:8" ht="24" customHeight="1">
      <c r="A14" s="336"/>
      <c r="B14" s="76" t="s">
        <v>148</v>
      </c>
      <c r="C14" s="20" t="s">
        <v>140</v>
      </c>
      <c r="D14" s="20">
        <v>20</v>
      </c>
      <c r="E14" s="196">
        <v>0.2</v>
      </c>
      <c r="F14" s="195">
        <f t="shared" si="0"/>
        <v>4</v>
      </c>
      <c r="G14" s="90" t="s">
        <v>397</v>
      </c>
      <c r="H14" s="93"/>
    </row>
    <row r="15" spans="1:8" ht="24" customHeight="1">
      <c r="A15" s="336"/>
      <c r="B15" s="76" t="s">
        <v>154</v>
      </c>
      <c r="C15" s="20" t="s">
        <v>155</v>
      </c>
      <c r="D15" s="20">
        <v>1</v>
      </c>
      <c r="E15" s="196">
        <v>0.21</v>
      </c>
      <c r="F15" s="195">
        <f t="shared" si="0"/>
        <v>0.21</v>
      </c>
      <c r="G15" s="90" t="s">
        <v>224</v>
      </c>
      <c r="H15" s="93"/>
    </row>
    <row r="16" spans="1:8" ht="24" customHeight="1">
      <c r="A16" s="336"/>
      <c r="B16" s="76" t="s">
        <v>157</v>
      </c>
      <c r="C16" s="20" t="s">
        <v>156</v>
      </c>
      <c r="D16" s="20">
        <v>1</v>
      </c>
      <c r="E16" s="196">
        <v>5</v>
      </c>
      <c r="F16" s="195">
        <f t="shared" si="0"/>
        <v>5</v>
      </c>
      <c r="G16" s="90" t="s">
        <v>225</v>
      </c>
      <c r="H16" s="93"/>
    </row>
    <row r="17" spans="1:8" ht="24" customHeight="1">
      <c r="A17" s="336"/>
      <c r="B17" s="76" t="s">
        <v>158</v>
      </c>
      <c r="C17" s="20" t="s">
        <v>155</v>
      </c>
      <c r="D17" s="20">
        <v>1</v>
      </c>
      <c r="E17" s="196">
        <v>2.39</v>
      </c>
      <c r="F17" s="195">
        <f t="shared" si="0"/>
        <v>2.39</v>
      </c>
      <c r="G17" s="90" t="s">
        <v>399</v>
      </c>
      <c r="H17" s="93"/>
    </row>
    <row r="18" spans="1:8" ht="24" customHeight="1">
      <c r="A18" s="336"/>
      <c r="B18" s="76"/>
      <c r="C18" s="20"/>
      <c r="D18" s="20"/>
      <c r="E18" s="196"/>
      <c r="F18" s="195"/>
      <c r="G18" s="90"/>
      <c r="H18" s="93"/>
    </row>
    <row r="19" spans="1:8" ht="24" customHeight="1">
      <c r="A19" s="336"/>
      <c r="B19" s="76"/>
      <c r="C19" s="20"/>
      <c r="D19" s="20"/>
      <c r="E19" s="196"/>
      <c r="F19" s="195"/>
      <c r="G19" s="90"/>
      <c r="H19" s="93"/>
    </row>
    <row r="20" spans="1:8" ht="24" customHeight="1">
      <c r="A20" s="336"/>
      <c r="B20" s="76"/>
      <c r="C20" s="20"/>
      <c r="D20" s="20"/>
      <c r="E20" s="196"/>
      <c r="F20" s="195"/>
      <c r="G20" s="90"/>
      <c r="H20" s="93"/>
    </row>
    <row r="21" spans="1:8" ht="24" customHeight="1">
      <c r="A21" s="336"/>
      <c r="B21" s="76"/>
      <c r="C21" s="20"/>
      <c r="D21" s="20"/>
      <c r="E21" s="196"/>
      <c r="F21" s="195"/>
      <c r="G21" s="90"/>
      <c r="H21" s="93"/>
    </row>
    <row r="22" spans="1:8" ht="24" customHeight="1">
      <c r="A22" s="337"/>
      <c r="B22" s="338" t="s">
        <v>88</v>
      </c>
      <c r="C22" s="339"/>
      <c r="D22" s="339"/>
      <c r="E22" s="340"/>
      <c r="F22" s="198">
        <f>SUM(F3:F21)</f>
        <v>30</v>
      </c>
      <c r="G22" s="81"/>
      <c r="H22" s="93"/>
    </row>
    <row r="23" spans="1:8" ht="24" customHeight="1">
      <c r="A23" s="344" t="s">
        <v>60</v>
      </c>
      <c r="B23" s="21"/>
      <c r="C23" s="19"/>
      <c r="D23" s="19"/>
      <c r="E23" s="46"/>
      <c r="F23" s="195">
        <f t="shared" ref="F23:F24" si="1">D23*E23</f>
        <v>0</v>
      </c>
      <c r="G23" s="89" t="s">
        <v>4</v>
      </c>
      <c r="H23" s="93"/>
    </row>
    <row r="24" spans="1:8" ht="24" customHeight="1">
      <c r="A24" s="345"/>
      <c r="B24" s="21"/>
      <c r="C24" s="79"/>
      <c r="D24" s="79"/>
      <c r="E24" s="80"/>
      <c r="F24" s="197">
        <f t="shared" si="1"/>
        <v>0</v>
      </c>
      <c r="G24" s="90"/>
      <c r="H24" s="93"/>
    </row>
    <row r="25" spans="1:8" ht="24" customHeight="1">
      <c r="A25" s="345"/>
      <c r="B25" s="341" t="s">
        <v>88</v>
      </c>
      <c r="C25" s="342"/>
      <c r="D25" s="342"/>
      <c r="E25" s="343"/>
      <c r="F25" s="200">
        <f>SUM(F23:F24)</f>
        <v>0</v>
      </c>
      <c r="G25" s="92"/>
      <c r="H25" s="93"/>
    </row>
    <row r="26" spans="1:8" ht="24" customHeight="1">
      <c r="A26" s="333" t="s">
        <v>89</v>
      </c>
      <c r="B26" s="333"/>
      <c r="C26" s="333"/>
      <c r="D26" s="333"/>
      <c r="E26" s="333"/>
      <c r="F26" s="198">
        <f>SUM(F25,F22)</f>
        <v>30</v>
      </c>
      <c r="G26" s="90"/>
      <c r="H26" s="93"/>
    </row>
    <row r="27" spans="1:8" ht="24" customHeight="1">
      <c r="A27" s="357" t="s">
        <v>90</v>
      </c>
      <c r="B27" s="358"/>
      <c r="C27" s="358"/>
      <c r="D27" s="358"/>
      <c r="E27" s="358"/>
      <c r="F27" s="358"/>
      <c r="G27" s="358"/>
      <c r="H27" s="359"/>
    </row>
    <row r="28" spans="1:8" ht="24" customHeight="1">
      <c r="A28" s="360" t="s">
        <v>42</v>
      </c>
      <c r="B28" s="21" t="s">
        <v>4</v>
      </c>
      <c r="C28" s="20" t="s">
        <v>4</v>
      </c>
      <c r="D28" s="20"/>
      <c r="E28" s="45"/>
      <c r="F28" s="197">
        <f>D28*E28</f>
        <v>0</v>
      </c>
      <c r="G28" s="90" t="s">
        <v>4</v>
      </c>
      <c r="H28" s="93"/>
    </row>
    <row r="29" spans="1:8" ht="24" customHeight="1">
      <c r="A29" s="360"/>
      <c r="B29" s="21"/>
      <c r="C29" s="20"/>
      <c r="D29" s="20"/>
      <c r="E29" s="45"/>
      <c r="F29" s="197">
        <f>D29*E29</f>
        <v>0</v>
      </c>
      <c r="G29" s="90"/>
      <c r="H29" s="93"/>
    </row>
    <row r="30" spans="1:8" ht="24" customHeight="1">
      <c r="A30" s="360"/>
      <c r="B30" s="21"/>
      <c r="C30" s="20"/>
      <c r="D30" s="20"/>
      <c r="E30" s="45"/>
      <c r="F30" s="197">
        <f>D30*E30</f>
        <v>0</v>
      </c>
      <c r="G30" s="90"/>
      <c r="H30" s="93"/>
    </row>
    <row r="31" spans="1:8" ht="24" customHeight="1">
      <c r="A31" s="360"/>
      <c r="B31" s="21"/>
      <c r="C31" s="20"/>
      <c r="D31" s="20"/>
      <c r="E31" s="45"/>
      <c r="F31" s="197">
        <f>D31*E31</f>
        <v>0</v>
      </c>
      <c r="G31" s="90"/>
      <c r="H31" s="93"/>
    </row>
    <row r="32" spans="1:8" ht="24" customHeight="1">
      <c r="A32" s="360"/>
      <c r="B32" s="21" t="s">
        <v>4</v>
      </c>
      <c r="C32" s="20" t="s">
        <v>4</v>
      </c>
      <c r="D32" s="20"/>
      <c r="E32" s="45"/>
      <c r="F32" s="197">
        <f>D32*E32</f>
        <v>0</v>
      </c>
      <c r="G32" s="90" t="s">
        <v>4</v>
      </c>
      <c r="H32" s="93"/>
    </row>
    <row r="33" spans="1:8" ht="24" customHeight="1">
      <c r="A33" s="333" t="s">
        <v>91</v>
      </c>
      <c r="B33" s="333"/>
      <c r="C33" s="333"/>
      <c r="D33" s="333"/>
      <c r="E33" s="333"/>
      <c r="F33" s="198">
        <f>SUM(F28:F32)</f>
        <v>0</v>
      </c>
      <c r="G33" s="90"/>
      <c r="H33" s="93"/>
    </row>
    <row r="34" spans="1:8" ht="24" customHeight="1" thickBot="1">
      <c r="A34" s="348" t="s">
        <v>127</v>
      </c>
      <c r="B34" s="349"/>
      <c r="C34" s="349"/>
      <c r="D34" s="349"/>
      <c r="E34" s="349"/>
      <c r="F34" s="199">
        <f>SUM(F26,F33)</f>
        <v>30</v>
      </c>
      <c r="G34" s="91"/>
      <c r="H34" s="100"/>
    </row>
    <row r="35" spans="1:8">
      <c r="A35" s="5" t="s">
        <v>471</v>
      </c>
    </row>
    <row r="36" spans="1:8" ht="42" customHeight="1"/>
    <row r="37" spans="1:8">
      <c r="A37" s="352" t="s">
        <v>70</v>
      </c>
      <c r="B37" s="352"/>
      <c r="C37" s="352"/>
      <c r="D37" s="352"/>
      <c r="E37" s="352"/>
      <c r="F37" s="352"/>
      <c r="G37" s="352"/>
    </row>
    <row r="38" spans="1:8">
      <c r="A38" s="189" t="s">
        <v>71</v>
      </c>
      <c r="B38" s="189"/>
      <c r="C38" s="189"/>
      <c r="D38" s="189"/>
      <c r="E38" s="189"/>
      <c r="F38" s="33"/>
      <c r="G38" s="189"/>
    </row>
    <row r="39" spans="1:8">
      <c r="A39" s="189" t="s">
        <v>72</v>
      </c>
      <c r="B39" s="189"/>
      <c r="C39" s="189"/>
      <c r="D39" s="189"/>
      <c r="E39" s="189"/>
      <c r="F39" s="33"/>
      <c r="G39" s="189"/>
    </row>
    <row r="40" spans="1:8">
      <c r="A40" s="189" t="s">
        <v>73</v>
      </c>
      <c r="B40" s="189"/>
      <c r="C40" s="189"/>
      <c r="D40" s="189"/>
      <c r="E40" s="189"/>
      <c r="F40" s="33"/>
      <c r="G40" s="189"/>
    </row>
    <row r="41" spans="1:8">
      <c r="A41" s="189" t="s">
        <v>103</v>
      </c>
    </row>
  </sheetData>
  <mergeCells count="16">
    <mergeCell ref="A7:H7"/>
    <mergeCell ref="A1:G1"/>
    <mergeCell ref="A3:B3"/>
    <mergeCell ref="G4:H4"/>
    <mergeCell ref="A5:G5"/>
    <mergeCell ref="A6:B6"/>
    <mergeCell ref="A28:A32"/>
    <mergeCell ref="A33:E33"/>
    <mergeCell ref="A34:E34"/>
    <mergeCell ref="A37:G37"/>
    <mergeCell ref="A8:A22"/>
    <mergeCell ref="B22:E22"/>
    <mergeCell ref="A23:A25"/>
    <mergeCell ref="B25:E25"/>
    <mergeCell ref="A26:E26"/>
    <mergeCell ref="A27:H27"/>
  </mergeCells>
  <phoneticPr fontId="1" type="noConversion"/>
  <dataValidations count="2">
    <dataValidation type="list" allowBlank="1" showInputMessage="1" showErrorMessage="1" sqref="B23:B24">
      <formula1>"學生獎學金,學生獎助金"</formula1>
    </dataValidation>
    <dataValidation type="list" allowBlank="1" showInputMessage="1" showErrorMessage="1" sqref="B8:B21">
      <formula1>"講座鐘點費(內聘),講座鐘點費(外聘), 講座助理鐘點費,授課鐘點費,諮詢費,指導費,稿費,裁判費,印刷費,資料蒐集費,國內旅費,膳宿費,租車費,材料費,物品費,保險費,場地使用費,全民健康保險補充保費,設備使用費,工讀費,設備維護費,軟體設計費,軟體授權費,雜支(包含耗材)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Footer>第 &amp;P 頁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view="pageBreakPreview" zoomScale="85" zoomScaleNormal="100" zoomScaleSheetLayoutView="85" workbookViewId="0">
      <pane xSplit="1" ySplit="7" topLeftCell="B17" activePane="bottomRight" state="frozen"/>
      <selection pane="topRight" activeCell="B1" sqref="B1"/>
      <selection pane="bottomLeft" activeCell="A8" sqref="A8"/>
      <selection pane="bottomRight" activeCell="I10" sqref="I10"/>
    </sheetView>
  </sheetViews>
  <sheetFormatPr defaultRowHeight="16.2"/>
  <cols>
    <col min="1" max="1" width="8" customWidth="1"/>
    <col min="2" max="2" width="20.44140625" customWidth="1"/>
    <col min="3" max="3" width="5.109375" customWidth="1"/>
    <col min="4" max="4" width="6.88671875" customWidth="1"/>
    <col min="5" max="5" width="9.33203125" customWidth="1"/>
    <col min="6" max="6" width="9.88671875" style="17" bestFit="1" customWidth="1"/>
    <col min="7" max="7" width="55.33203125" customWidth="1"/>
    <col min="8" max="8" width="6.109375" customWidth="1"/>
    <col min="9" max="9" width="15.88671875" customWidth="1"/>
    <col min="10" max="10" width="12.33203125" customWidth="1"/>
    <col min="11" max="11" width="24.44140625" customWidth="1"/>
  </cols>
  <sheetData>
    <row r="1" spans="1:8" ht="22.2">
      <c r="A1" s="332" t="s">
        <v>318</v>
      </c>
      <c r="B1" s="295"/>
      <c r="C1" s="295"/>
      <c r="D1" s="295"/>
      <c r="E1" s="295"/>
      <c r="F1" s="295"/>
      <c r="G1" s="295"/>
    </row>
    <row r="3" spans="1:8">
      <c r="A3" s="350" t="s">
        <v>401</v>
      </c>
      <c r="B3" s="351"/>
    </row>
    <row r="4" spans="1:8">
      <c r="A4" s="18" t="s">
        <v>402</v>
      </c>
      <c r="G4" s="347" t="s">
        <v>3</v>
      </c>
      <c r="H4" s="347"/>
    </row>
    <row r="5" spans="1:8" ht="16.8" thickBot="1">
      <c r="A5" s="353" t="s">
        <v>126</v>
      </c>
      <c r="B5" s="354"/>
      <c r="C5" s="354"/>
      <c r="D5" s="354"/>
      <c r="E5" s="354"/>
      <c r="F5" s="354"/>
      <c r="G5" s="354"/>
      <c r="H5" s="190"/>
    </row>
    <row r="6" spans="1:8" ht="31.5" customHeight="1">
      <c r="A6" s="334" t="s">
        <v>32</v>
      </c>
      <c r="B6" s="335"/>
      <c r="C6" s="188" t="s">
        <v>5</v>
      </c>
      <c r="D6" s="188" t="s">
        <v>6</v>
      </c>
      <c r="E6" s="95" t="s">
        <v>7</v>
      </c>
      <c r="F6" s="96" t="s">
        <v>8</v>
      </c>
      <c r="G6" s="97" t="s">
        <v>9</v>
      </c>
      <c r="H6" s="101" t="s">
        <v>102</v>
      </c>
    </row>
    <row r="7" spans="1:8" ht="24" customHeight="1">
      <c r="A7" s="346" t="s">
        <v>87</v>
      </c>
      <c r="B7" s="346"/>
      <c r="C7" s="346"/>
      <c r="D7" s="346"/>
      <c r="E7" s="346"/>
      <c r="F7" s="346"/>
      <c r="G7" s="346"/>
      <c r="H7" s="346"/>
    </row>
    <row r="8" spans="1:8" ht="74.400000000000006" customHeight="1">
      <c r="A8" s="336" t="s">
        <v>10</v>
      </c>
      <c r="B8" s="76" t="s">
        <v>197</v>
      </c>
      <c r="C8" s="75" t="s">
        <v>136</v>
      </c>
      <c r="D8" s="75">
        <v>4</v>
      </c>
      <c r="E8" s="194">
        <v>2</v>
      </c>
      <c r="F8" s="195">
        <f>D8*E8</f>
        <v>8</v>
      </c>
      <c r="G8" s="192" t="s">
        <v>479</v>
      </c>
      <c r="H8" s="98"/>
    </row>
    <row r="9" spans="1:8" ht="98.4" customHeight="1">
      <c r="A9" s="336"/>
      <c r="B9" s="76" t="s">
        <v>143</v>
      </c>
      <c r="C9" s="20" t="s">
        <v>140</v>
      </c>
      <c r="D9" s="20">
        <v>4</v>
      </c>
      <c r="E9" s="196">
        <v>1</v>
      </c>
      <c r="F9" s="195">
        <f t="shared" ref="F9:F11" si="0">D9*E9</f>
        <v>4</v>
      </c>
      <c r="G9" s="193" t="s">
        <v>406</v>
      </c>
      <c r="H9" s="93"/>
    </row>
    <row r="10" spans="1:8" ht="47.4" customHeight="1">
      <c r="A10" s="336"/>
      <c r="B10" s="76" t="s">
        <v>144</v>
      </c>
      <c r="C10" s="20" t="s">
        <v>145</v>
      </c>
      <c r="D10" s="20">
        <v>60</v>
      </c>
      <c r="E10" s="196">
        <v>0.08</v>
      </c>
      <c r="F10" s="195">
        <f t="shared" si="0"/>
        <v>4.8</v>
      </c>
      <c r="G10" s="193" t="s">
        <v>407</v>
      </c>
      <c r="H10" s="93"/>
    </row>
    <row r="11" spans="1:8" ht="54" customHeight="1">
      <c r="A11" s="336"/>
      <c r="B11" s="76" t="s">
        <v>158</v>
      </c>
      <c r="C11" s="20" t="s">
        <v>155</v>
      </c>
      <c r="D11" s="20">
        <v>1</v>
      </c>
      <c r="E11" s="196">
        <v>3.2</v>
      </c>
      <c r="F11" s="195">
        <f t="shared" si="0"/>
        <v>3.2</v>
      </c>
      <c r="G11" s="193" t="s">
        <v>409</v>
      </c>
      <c r="H11" s="93"/>
    </row>
    <row r="12" spans="1:8" ht="49.2" customHeight="1">
      <c r="A12" s="336"/>
      <c r="B12" s="76"/>
      <c r="C12" s="20"/>
      <c r="D12" s="20"/>
      <c r="E12" s="196"/>
      <c r="F12" s="195"/>
      <c r="G12" s="193"/>
      <c r="H12" s="93"/>
    </row>
    <row r="13" spans="1:8" ht="24" customHeight="1">
      <c r="A13" s="337"/>
      <c r="B13" s="338" t="s">
        <v>88</v>
      </c>
      <c r="C13" s="339"/>
      <c r="D13" s="339"/>
      <c r="E13" s="340"/>
      <c r="F13" s="195">
        <f>SUM(F8:F12)</f>
        <v>20</v>
      </c>
      <c r="G13" s="81"/>
      <c r="H13" s="93"/>
    </row>
    <row r="14" spans="1:8" ht="24" customHeight="1">
      <c r="A14" s="344" t="s">
        <v>60</v>
      </c>
      <c r="B14" s="21"/>
      <c r="C14" s="19"/>
      <c r="D14" s="19"/>
      <c r="E14" s="46"/>
      <c r="F14" s="195"/>
      <c r="G14" s="89" t="s">
        <v>4</v>
      </c>
      <c r="H14" s="93"/>
    </row>
    <row r="15" spans="1:8" ht="24" customHeight="1">
      <c r="A15" s="345"/>
      <c r="B15" s="341" t="s">
        <v>88</v>
      </c>
      <c r="C15" s="342"/>
      <c r="D15" s="342"/>
      <c r="E15" s="343"/>
      <c r="F15" s="195"/>
      <c r="G15" s="92"/>
      <c r="H15" s="93"/>
    </row>
    <row r="16" spans="1:8" ht="24" customHeight="1">
      <c r="A16" s="333" t="s">
        <v>89</v>
      </c>
      <c r="B16" s="333"/>
      <c r="C16" s="333"/>
      <c r="D16" s="333"/>
      <c r="E16" s="333"/>
      <c r="F16" s="195">
        <f>SUM(F15,F13)</f>
        <v>20</v>
      </c>
      <c r="G16" s="90"/>
      <c r="H16" s="93"/>
    </row>
    <row r="17" spans="1:8" ht="24" customHeight="1">
      <c r="A17" s="357" t="s">
        <v>90</v>
      </c>
      <c r="B17" s="358"/>
      <c r="C17" s="358"/>
      <c r="D17" s="358"/>
      <c r="E17" s="358"/>
      <c r="F17" s="358"/>
      <c r="G17" s="358"/>
      <c r="H17" s="359"/>
    </row>
    <row r="18" spans="1:8" ht="24" customHeight="1">
      <c r="A18" s="355" t="s">
        <v>42</v>
      </c>
      <c r="B18" s="21"/>
      <c r="C18" s="20"/>
      <c r="D18" s="20"/>
      <c r="E18" s="45"/>
      <c r="F18" s="197"/>
      <c r="G18" s="90"/>
      <c r="H18" s="93"/>
    </row>
    <row r="19" spans="1:8" ht="24" customHeight="1">
      <c r="A19" s="356"/>
      <c r="B19" s="21"/>
      <c r="C19" s="20"/>
      <c r="D19" s="20"/>
      <c r="E19" s="45"/>
      <c r="F19" s="197"/>
      <c r="G19" s="90"/>
      <c r="H19" s="93"/>
    </row>
    <row r="20" spans="1:8" ht="24" customHeight="1">
      <c r="A20" s="356"/>
      <c r="B20" s="21"/>
      <c r="C20" s="20"/>
      <c r="D20" s="20"/>
      <c r="E20" s="45"/>
      <c r="F20" s="197"/>
      <c r="G20" s="90"/>
      <c r="H20" s="93"/>
    </row>
    <row r="21" spans="1:8" ht="24" customHeight="1">
      <c r="A21" s="333" t="s">
        <v>91</v>
      </c>
      <c r="B21" s="333"/>
      <c r="C21" s="333"/>
      <c r="D21" s="333"/>
      <c r="E21" s="333"/>
      <c r="F21" s="198">
        <f>SUM(F18:F20)</f>
        <v>0</v>
      </c>
      <c r="G21" s="90"/>
      <c r="H21" s="93"/>
    </row>
    <row r="22" spans="1:8" ht="24" customHeight="1" thickBot="1">
      <c r="A22" s="348" t="s">
        <v>367</v>
      </c>
      <c r="B22" s="349"/>
      <c r="C22" s="349"/>
      <c r="D22" s="349"/>
      <c r="E22" s="349"/>
      <c r="F22" s="199">
        <f>SUM(F16,F21)</f>
        <v>20</v>
      </c>
      <c r="G22" s="91"/>
      <c r="H22" s="100"/>
    </row>
    <row r="23" spans="1:8">
      <c r="A23" s="5" t="s">
        <v>473</v>
      </c>
    </row>
    <row r="24" spans="1:8" ht="45" customHeight="1"/>
    <row r="25" spans="1:8">
      <c r="A25" s="352" t="s">
        <v>70</v>
      </c>
      <c r="B25" s="352"/>
      <c r="C25" s="352"/>
      <c r="D25" s="352"/>
      <c r="E25" s="352"/>
      <c r="F25" s="352"/>
      <c r="G25" s="352"/>
    </row>
    <row r="26" spans="1:8">
      <c r="A26" s="189" t="s">
        <v>71</v>
      </c>
      <c r="B26" s="189"/>
      <c r="C26" s="189"/>
      <c r="D26" s="189"/>
      <c r="E26" s="189"/>
      <c r="F26" s="33"/>
      <c r="G26" s="189"/>
    </row>
    <row r="27" spans="1:8">
      <c r="A27" s="189" t="s">
        <v>72</v>
      </c>
      <c r="B27" s="189"/>
      <c r="C27" s="189"/>
      <c r="D27" s="189"/>
      <c r="E27" s="189"/>
      <c r="F27" s="33"/>
      <c r="G27" s="189"/>
    </row>
    <row r="28" spans="1:8">
      <c r="A28" s="189" t="s">
        <v>73</v>
      </c>
      <c r="B28" s="189"/>
      <c r="C28" s="189"/>
      <c r="D28" s="189"/>
      <c r="E28" s="189"/>
      <c r="F28" s="33"/>
      <c r="G28" s="189"/>
    </row>
    <row r="29" spans="1:8">
      <c r="A29" s="189" t="s">
        <v>103</v>
      </c>
    </row>
  </sheetData>
  <mergeCells count="16">
    <mergeCell ref="A7:H7"/>
    <mergeCell ref="A1:G1"/>
    <mergeCell ref="A3:B3"/>
    <mergeCell ref="G4:H4"/>
    <mergeCell ref="A5:G5"/>
    <mergeCell ref="A6:B6"/>
    <mergeCell ref="A18:A20"/>
    <mergeCell ref="A21:E21"/>
    <mergeCell ref="A22:E22"/>
    <mergeCell ref="A25:G25"/>
    <mergeCell ref="A8:A13"/>
    <mergeCell ref="B13:E13"/>
    <mergeCell ref="A14:A15"/>
    <mergeCell ref="B15:E15"/>
    <mergeCell ref="A16:E16"/>
    <mergeCell ref="A17:H17"/>
  </mergeCells>
  <phoneticPr fontId="1" type="noConversion"/>
  <dataValidations count="2">
    <dataValidation type="list" allowBlank="1" showInputMessage="1" showErrorMessage="1" sqref="B14">
      <formula1>"學生獎學金,學生獎助金"</formula1>
    </dataValidation>
    <dataValidation type="list" allowBlank="1" showInputMessage="1" showErrorMessage="1" sqref="B8:B12">
      <formula1>"講座鐘點費(內聘),講座鐘點費(外聘), 講座助理鐘點費,授課鐘點費,諮詢費,指導費,稿費,裁判費,印刷費,資料蒐集費,國內旅費,膳宿費,租車費,材料費,物品費,保險費,場地使用費,全民健康保險補充保費,設備使用費,工讀費,設備維護費,軟體設計費,軟體授權費,雜支(包含耗材)"</formula1>
    </dataValidation>
  </dataValidations>
  <printOptions horizontalCentered="1" verticalCentered="1"/>
  <pageMargins left="0.27559055118110237" right="0.19685039370078741" top="0.31496062992125984" bottom="0.23622047244094491" header="0.31496062992125984" footer="0.15748031496062992"/>
  <pageSetup paperSize="9" scale="81" orientation="portrait" r:id="rId1"/>
  <headerFooter>
    <oddFooter>第 &amp;P 頁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view="pageBreakPreview" topLeftCell="A6" zoomScaleNormal="100" zoomScaleSheetLayoutView="100" workbookViewId="0">
      <selection activeCell="A29" sqref="A29"/>
    </sheetView>
  </sheetViews>
  <sheetFormatPr defaultRowHeight="16.2"/>
  <cols>
    <col min="1" max="1" width="8" customWidth="1"/>
    <col min="2" max="2" width="22.77734375" customWidth="1"/>
    <col min="3" max="5" width="9.33203125" customWidth="1"/>
    <col min="6" max="6" width="9.33203125" style="17" customWidth="1"/>
    <col min="7" max="7" width="44.109375" customWidth="1"/>
    <col min="8" max="8" width="6.109375" customWidth="1"/>
    <col min="9" max="9" width="15.88671875" customWidth="1"/>
    <col min="10" max="10" width="12.33203125" customWidth="1"/>
    <col min="11" max="11" width="24.44140625" customWidth="1"/>
  </cols>
  <sheetData>
    <row r="1" spans="1:8" ht="22.2">
      <c r="A1" s="332" t="s">
        <v>319</v>
      </c>
      <c r="B1" s="295"/>
      <c r="C1" s="295"/>
      <c r="D1" s="295"/>
      <c r="E1" s="295"/>
      <c r="F1" s="295"/>
      <c r="G1" s="295"/>
    </row>
    <row r="3" spans="1:8">
      <c r="A3" s="350" t="s">
        <v>403</v>
      </c>
      <c r="B3" s="351"/>
    </row>
    <row r="4" spans="1:8">
      <c r="A4" s="18" t="s">
        <v>402</v>
      </c>
      <c r="G4" s="347" t="s">
        <v>3</v>
      </c>
      <c r="H4" s="347"/>
    </row>
    <row r="5" spans="1:8" ht="16.8" thickBot="1">
      <c r="A5" s="353" t="s">
        <v>128</v>
      </c>
      <c r="B5" s="354"/>
      <c r="C5" s="354"/>
      <c r="D5" s="354"/>
      <c r="E5" s="354"/>
      <c r="F5" s="354"/>
      <c r="G5" s="354"/>
      <c r="H5" s="190"/>
    </row>
    <row r="6" spans="1:8" ht="31.5" customHeight="1">
      <c r="A6" s="334" t="s">
        <v>32</v>
      </c>
      <c r="B6" s="335"/>
      <c r="C6" s="188" t="s">
        <v>5</v>
      </c>
      <c r="D6" s="188" t="s">
        <v>6</v>
      </c>
      <c r="E6" s="95" t="s">
        <v>7</v>
      </c>
      <c r="F6" s="96" t="s">
        <v>8</v>
      </c>
      <c r="G6" s="97" t="s">
        <v>9</v>
      </c>
      <c r="H6" s="99" t="s">
        <v>102</v>
      </c>
    </row>
    <row r="7" spans="1:8" ht="24" customHeight="1">
      <c r="A7" s="346" t="s">
        <v>87</v>
      </c>
      <c r="B7" s="346"/>
      <c r="C7" s="346"/>
      <c r="D7" s="346"/>
      <c r="E7" s="346"/>
      <c r="F7" s="346"/>
      <c r="G7" s="346"/>
      <c r="H7" s="346"/>
    </row>
    <row r="8" spans="1:8" ht="77.400000000000006" customHeight="1">
      <c r="A8" s="336" t="s">
        <v>10</v>
      </c>
      <c r="B8" s="76" t="s">
        <v>197</v>
      </c>
      <c r="C8" s="75" t="s">
        <v>136</v>
      </c>
      <c r="D8" s="75">
        <v>4</v>
      </c>
      <c r="E8" s="194">
        <v>2</v>
      </c>
      <c r="F8" s="195">
        <f>D8*E8</f>
        <v>8</v>
      </c>
      <c r="G8" s="89" t="s">
        <v>404</v>
      </c>
      <c r="H8" s="98"/>
    </row>
    <row r="9" spans="1:8" ht="60" customHeight="1">
      <c r="A9" s="336"/>
      <c r="B9" s="76" t="s">
        <v>143</v>
      </c>
      <c r="C9" s="20" t="s">
        <v>140</v>
      </c>
      <c r="D9" s="20">
        <v>4</v>
      </c>
      <c r="E9" s="196">
        <v>1</v>
      </c>
      <c r="F9" s="195">
        <f t="shared" ref="F9:F11" si="0">D9*E9</f>
        <v>4</v>
      </c>
      <c r="G9" s="90" t="s">
        <v>405</v>
      </c>
      <c r="H9" s="93"/>
    </row>
    <row r="10" spans="1:8" ht="36.6" customHeight="1">
      <c r="A10" s="336"/>
      <c r="B10" s="76" t="s">
        <v>144</v>
      </c>
      <c r="C10" s="20" t="s">
        <v>145</v>
      </c>
      <c r="D10" s="20">
        <v>60</v>
      </c>
      <c r="E10" s="196">
        <v>0.08</v>
      </c>
      <c r="F10" s="195">
        <f t="shared" si="0"/>
        <v>4.8</v>
      </c>
      <c r="G10" s="90" t="s">
        <v>405</v>
      </c>
      <c r="H10" s="93"/>
    </row>
    <row r="11" spans="1:8" ht="33" customHeight="1">
      <c r="A11" s="336"/>
      <c r="B11" s="76" t="s">
        <v>158</v>
      </c>
      <c r="C11" s="20" t="s">
        <v>155</v>
      </c>
      <c r="D11" s="20">
        <v>1</v>
      </c>
      <c r="E11" s="196">
        <v>3.2</v>
      </c>
      <c r="F11" s="195">
        <f t="shared" si="0"/>
        <v>3.2</v>
      </c>
      <c r="G11" s="90" t="s">
        <v>408</v>
      </c>
      <c r="H11" s="93"/>
    </row>
    <row r="12" spans="1:8" ht="24" customHeight="1">
      <c r="A12" s="336"/>
      <c r="B12" s="76"/>
      <c r="C12" s="20"/>
      <c r="D12" s="20"/>
      <c r="E12" s="196"/>
      <c r="F12" s="195"/>
      <c r="G12" s="90"/>
      <c r="H12" s="93"/>
    </row>
    <row r="13" spans="1:8" ht="24" customHeight="1">
      <c r="A13" s="336"/>
      <c r="B13" s="76"/>
      <c r="C13" s="20"/>
      <c r="D13" s="20"/>
      <c r="E13" s="196"/>
      <c r="F13" s="195"/>
      <c r="G13" s="90"/>
      <c r="H13" s="93"/>
    </row>
    <row r="14" spans="1:8" ht="24" customHeight="1">
      <c r="A14" s="336"/>
      <c r="B14" s="76"/>
      <c r="C14" s="20"/>
      <c r="D14" s="20"/>
      <c r="E14" s="196"/>
      <c r="F14" s="195"/>
      <c r="G14" s="90"/>
      <c r="H14" s="93"/>
    </row>
    <row r="15" spans="1:8" ht="24" customHeight="1">
      <c r="A15" s="336"/>
      <c r="B15" s="76"/>
      <c r="C15" s="20"/>
      <c r="D15" s="20"/>
      <c r="E15" s="196"/>
      <c r="F15" s="195"/>
      <c r="G15" s="90"/>
      <c r="H15" s="93"/>
    </row>
    <row r="16" spans="1:8" ht="24" customHeight="1">
      <c r="A16" s="337"/>
      <c r="B16" s="338" t="s">
        <v>88</v>
      </c>
      <c r="C16" s="339"/>
      <c r="D16" s="339"/>
      <c r="E16" s="340"/>
      <c r="F16" s="198">
        <f>SUM(F3:F15)</f>
        <v>20</v>
      </c>
      <c r="G16" s="81"/>
      <c r="H16" s="93"/>
    </row>
    <row r="17" spans="1:8" ht="24" customHeight="1">
      <c r="A17" s="344" t="s">
        <v>60</v>
      </c>
      <c r="B17" s="21"/>
      <c r="C17" s="19"/>
      <c r="D17" s="19"/>
      <c r="E17" s="46"/>
      <c r="F17" s="195"/>
      <c r="G17" s="89" t="s">
        <v>4</v>
      </c>
      <c r="H17" s="93"/>
    </row>
    <row r="18" spans="1:8" ht="24" customHeight="1">
      <c r="A18" s="345"/>
      <c r="B18" s="21"/>
      <c r="C18" s="79"/>
      <c r="D18" s="79"/>
      <c r="E18" s="80"/>
      <c r="F18" s="197"/>
      <c r="G18" s="90"/>
      <c r="H18" s="93"/>
    </row>
    <row r="19" spans="1:8" ht="24" customHeight="1">
      <c r="A19" s="345"/>
      <c r="B19" s="341" t="s">
        <v>88</v>
      </c>
      <c r="C19" s="342"/>
      <c r="D19" s="342"/>
      <c r="E19" s="343"/>
      <c r="F19" s="200"/>
      <c r="G19" s="92"/>
      <c r="H19" s="93"/>
    </row>
    <row r="20" spans="1:8" ht="24" customHeight="1">
      <c r="A20" s="333" t="s">
        <v>89</v>
      </c>
      <c r="B20" s="333"/>
      <c r="C20" s="333"/>
      <c r="D20" s="333"/>
      <c r="E20" s="333"/>
      <c r="F20" s="198">
        <f>SUM(F19,F16)</f>
        <v>20</v>
      </c>
      <c r="G20" s="90"/>
      <c r="H20" s="93"/>
    </row>
    <row r="21" spans="1:8" ht="24" customHeight="1">
      <c r="A21" s="357" t="s">
        <v>90</v>
      </c>
      <c r="B21" s="358"/>
      <c r="C21" s="358"/>
      <c r="D21" s="358"/>
      <c r="E21" s="358"/>
      <c r="F21" s="358"/>
      <c r="G21" s="358"/>
      <c r="H21" s="359"/>
    </row>
    <row r="22" spans="1:8" ht="24" customHeight="1">
      <c r="A22" s="360" t="s">
        <v>42</v>
      </c>
      <c r="B22" s="21" t="s">
        <v>4</v>
      </c>
      <c r="C22" s="20" t="s">
        <v>4</v>
      </c>
      <c r="D22" s="20"/>
      <c r="E22" s="45"/>
      <c r="F22" s="197"/>
      <c r="G22" s="90" t="s">
        <v>4</v>
      </c>
      <c r="H22" s="93"/>
    </row>
    <row r="23" spans="1:8" ht="24" customHeight="1">
      <c r="A23" s="360"/>
      <c r="B23" s="21"/>
      <c r="C23" s="20"/>
      <c r="D23" s="20"/>
      <c r="E23" s="45"/>
      <c r="F23" s="197"/>
      <c r="G23" s="90"/>
      <c r="H23" s="93"/>
    </row>
    <row r="24" spans="1:8" ht="24" customHeight="1">
      <c r="A24" s="360"/>
      <c r="B24" s="21"/>
      <c r="C24" s="20"/>
      <c r="D24" s="20"/>
      <c r="E24" s="45"/>
      <c r="F24" s="197"/>
      <c r="G24" s="90"/>
      <c r="H24" s="93"/>
    </row>
    <row r="25" spans="1:8" ht="24" customHeight="1">
      <c r="A25" s="360"/>
      <c r="B25" s="21"/>
      <c r="C25" s="20"/>
      <c r="D25" s="20"/>
      <c r="E25" s="45"/>
      <c r="F25" s="197"/>
      <c r="G25" s="90"/>
      <c r="H25" s="93"/>
    </row>
    <row r="26" spans="1:8" ht="24" customHeight="1">
      <c r="A26" s="360"/>
      <c r="B26" s="21" t="s">
        <v>4</v>
      </c>
      <c r="C26" s="20" t="s">
        <v>4</v>
      </c>
      <c r="D26" s="20"/>
      <c r="E26" s="45"/>
      <c r="F26" s="197"/>
      <c r="G26" s="90" t="s">
        <v>4</v>
      </c>
      <c r="H26" s="93"/>
    </row>
    <row r="27" spans="1:8" ht="24" customHeight="1">
      <c r="A27" s="333" t="s">
        <v>91</v>
      </c>
      <c r="B27" s="333"/>
      <c r="C27" s="333"/>
      <c r="D27" s="333"/>
      <c r="E27" s="333"/>
      <c r="F27" s="198">
        <f>SUM(F22:F26)</f>
        <v>0</v>
      </c>
      <c r="G27" s="90"/>
      <c r="H27" s="93"/>
    </row>
    <row r="28" spans="1:8" ht="24" customHeight="1" thickBot="1">
      <c r="A28" s="348" t="s">
        <v>127</v>
      </c>
      <c r="B28" s="349"/>
      <c r="C28" s="349"/>
      <c r="D28" s="349"/>
      <c r="E28" s="349"/>
      <c r="F28" s="199">
        <f>SUM(F20,F27)</f>
        <v>20</v>
      </c>
      <c r="G28" s="91"/>
      <c r="H28" s="100"/>
    </row>
    <row r="29" spans="1:8">
      <c r="A29" s="5" t="s">
        <v>473</v>
      </c>
    </row>
    <row r="30" spans="1:8" ht="44.4" customHeight="1"/>
    <row r="31" spans="1:8">
      <c r="A31" s="352" t="s">
        <v>70</v>
      </c>
      <c r="B31" s="352"/>
      <c r="C31" s="352"/>
      <c r="D31" s="352"/>
      <c r="E31" s="352"/>
      <c r="F31" s="352"/>
      <c r="G31" s="352"/>
    </row>
    <row r="32" spans="1:8">
      <c r="A32" s="189" t="s">
        <v>71</v>
      </c>
      <c r="B32" s="189"/>
      <c r="C32" s="189"/>
      <c r="D32" s="189"/>
      <c r="E32" s="189"/>
      <c r="F32" s="33"/>
      <c r="G32" s="189"/>
    </row>
    <row r="33" spans="1:7">
      <c r="A33" s="189" t="s">
        <v>72</v>
      </c>
      <c r="B33" s="189"/>
      <c r="C33" s="189"/>
      <c r="D33" s="189"/>
      <c r="E33" s="189"/>
      <c r="F33" s="33"/>
      <c r="G33" s="189"/>
    </row>
    <row r="34" spans="1:7">
      <c r="A34" s="189" t="s">
        <v>73</v>
      </c>
      <c r="B34" s="189"/>
      <c r="C34" s="189"/>
      <c r="D34" s="189"/>
      <c r="E34" s="189"/>
      <c r="F34" s="33"/>
      <c r="G34" s="189"/>
    </row>
    <row r="35" spans="1:7">
      <c r="A35" s="189" t="s">
        <v>103</v>
      </c>
    </row>
  </sheetData>
  <mergeCells count="16">
    <mergeCell ref="A7:H7"/>
    <mergeCell ref="A1:G1"/>
    <mergeCell ref="A3:B3"/>
    <mergeCell ref="G4:H4"/>
    <mergeCell ref="A5:G5"/>
    <mergeCell ref="A6:B6"/>
    <mergeCell ref="A22:A26"/>
    <mergeCell ref="A27:E27"/>
    <mergeCell ref="A28:E28"/>
    <mergeCell ref="A31:G31"/>
    <mergeCell ref="A8:A16"/>
    <mergeCell ref="B16:E16"/>
    <mergeCell ref="A17:A19"/>
    <mergeCell ref="B19:E19"/>
    <mergeCell ref="A20:E20"/>
    <mergeCell ref="A21:H21"/>
  </mergeCells>
  <phoneticPr fontId="1" type="noConversion"/>
  <dataValidations count="2">
    <dataValidation type="list" allowBlank="1" showInputMessage="1" showErrorMessage="1" sqref="B17:B18">
      <formula1>"學生獎學金,學生獎助金"</formula1>
    </dataValidation>
    <dataValidation type="list" allowBlank="1" showInputMessage="1" showErrorMessage="1" sqref="B8:B15">
      <formula1>"講座鐘點費(內聘),講座鐘點費(外聘), 講座助理鐘點費,授課鐘點費,諮詢費,指導費,稿費,裁判費,印刷費,資料蒐集費,國內旅費,膳宿費,租車費,材料費,物品費,保險費,場地使用費,全民健康保險補充保費,設備使用費,工讀費,設備維護費,軟體設計費,軟體授權費,雜支(包含耗材)"</formula1>
    </dataValidation>
  </dataValidations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Footer>第 &amp;P 頁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view="pageBreakPreview" zoomScale="85" zoomScaleNormal="100" zoomScaleSheetLayoutView="85" workbookViewId="0">
      <pane xSplit="1" ySplit="7" topLeftCell="B11" activePane="bottomRight" state="frozen"/>
      <selection pane="topRight" activeCell="B1" sqref="B1"/>
      <selection pane="bottomLeft" activeCell="A8" sqref="A8"/>
      <selection pane="bottomRight" activeCell="A23" sqref="A23"/>
    </sheetView>
  </sheetViews>
  <sheetFormatPr defaultRowHeight="16.2"/>
  <cols>
    <col min="1" max="1" width="8" customWidth="1"/>
    <col min="2" max="2" width="20.44140625" customWidth="1"/>
    <col min="3" max="3" width="5.109375" customWidth="1"/>
    <col min="4" max="4" width="6.88671875" customWidth="1"/>
    <col min="5" max="5" width="9.33203125" customWidth="1"/>
    <col min="6" max="6" width="9.88671875" style="17" bestFit="1" customWidth="1"/>
    <col min="7" max="7" width="55.33203125" customWidth="1"/>
    <col min="8" max="8" width="6.109375" customWidth="1"/>
    <col min="9" max="9" width="15.88671875" customWidth="1"/>
    <col min="10" max="10" width="12.33203125" customWidth="1"/>
    <col min="11" max="11" width="24.44140625" customWidth="1"/>
  </cols>
  <sheetData>
    <row r="1" spans="1:8" ht="22.2">
      <c r="A1" s="332" t="s">
        <v>318</v>
      </c>
      <c r="B1" s="295"/>
      <c r="C1" s="295"/>
      <c r="D1" s="295"/>
      <c r="E1" s="295"/>
      <c r="F1" s="295"/>
      <c r="G1" s="295"/>
    </row>
    <row r="3" spans="1:8">
      <c r="A3" s="350" t="s">
        <v>410</v>
      </c>
      <c r="B3" s="351"/>
    </row>
    <row r="4" spans="1:8">
      <c r="A4" s="18" t="s">
        <v>411</v>
      </c>
      <c r="G4" s="347" t="s">
        <v>3</v>
      </c>
      <c r="H4" s="347"/>
    </row>
    <row r="5" spans="1:8" ht="16.8" thickBot="1">
      <c r="A5" s="353" t="s">
        <v>126</v>
      </c>
      <c r="B5" s="354"/>
      <c r="C5" s="354"/>
      <c r="D5" s="354"/>
      <c r="E5" s="354"/>
      <c r="F5" s="354"/>
      <c r="G5" s="354"/>
      <c r="H5" s="190"/>
    </row>
    <row r="6" spans="1:8" ht="31.5" customHeight="1">
      <c r="A6" s="334" t="s">
        <v>32</v>
      </c>
      <c r="B6" s="335"/>
      <c r="C6" s="188" t="s">
        <v>5</v>
      </c>
      <c r="D6" s="188" t="s">
        <v>6</v>
      </c>
      <c r="E6" s="95" t="s">
        <v>7</v>
      </c>
      <c r="F6" s="96" t="s">
        <v>8</v>
      </c>
      <c r="G6" s="97" t="s">
        <v>9</v>
      </c>
      <c r="H6" s="101" t="s">
        <v>102</v>
      </c>
    </row>
    <row r="7" spans="1:8" ht="24" customHeight="1">
      <c r="A7" s="346" t="s">
        <v>87</v>
      </c>
      <c r="B7" s="346"/>
      <c r="C7" s="346"/>
      <c r="D7" s="346"/>
      <c r="E7" s="346"/>
      <c r="F7" s="346"/>
      <c r="G7" s="346"/>
      <c r="H7" s="346"/>
    </row>
    <row r="8" spans="1:8" ht="74.400000000000006" customHeight="1">
      <c r="A8" s="336" t="s">
        <v>10</v>
      </c>
      <c r="B8" s="76" t="s">
        <v>139</v>
      </c>
      <c r="C8" s="75" t="s">
        <v>140</v>
      </c>
      <c r="D8" s="75">
        <v>12</v>
      </c>
      <c r="E8" s="194">
        <v>2.5</v>
      </c>
      <c r="F8" s="195">
        <f>D8*E8</f>
        <v>30</v>
      </c>
      <c r="G8" s="192" t="s">
        <v>412</v>
      </c>
      <c r="H8" s="98"/>
    </row>
    <row r="9" spans="1:8" ht="98.4" customHeight="1">
      <c r="A9" s="336"/>
      <c r="B9" s="76" t="s">
        <v>141</v>
      </c>
      <c r="C9" s="20" t="s">
        <v>343</v>
      </c>
      <c r="D9" s="20">
        <v>40</v>
      </c>
      <c r="E9" s="196">
        <v>0.04</v>
      </c>
      <c r="F9" s="195">
        <f t="shared" ref="F9:F11" si="0">D9*E9</f>
        <v>1.6</v>
      </c>
      <c r="G9" s="193" t="s">
        <v>415</v>
      </c>
      <c r="H9" s="93"/>
    </row>
    <row r="10" spans="1:8" ht="47.4" customHeight="1">
      <c r="A10" s="336"/>
      <c r="B10" s="76" t="s">
        <v>143</v>
      </c>
      <c r="C10" s="20" t="s">
        <v>140</v>
      </c>
      <c r="D10" s="20">
        <v>12</v>
      </c>
      <c r="E10" s="196">
        <v>1</v>
      </c>
      <c r="F10" s="195">
        <f t="shared" si="0"/>
        <v>12</v>
      </c>
      <c r="G10" s="193" t="s">
        <v>413</v>
      </c>
      <c r="H10" s="93"/>
    </row>
    <row r="11" spans="1:8" ht="54" customHeight="1">
      <c r="A11" s="336"/>
      <c r="B11" s="76" t="s">
        <v>144</v>
      </c>
      <c r="C11" s="20" t="s">
        <v>145</v>
      </c>
      <c r="D11" s="20">
        <v>80</v>
      </c>
      <c r="E11" s="196">
        <v>0.08</v>
      </c>
      <c r="F11" s="195">
        <f t="shared" si="0"/>
        <v>6.4</v>
      </c>
      <c r="G11" s="193" t="s">
        <v>417</v>
      </c>
      <c r="H11" s="93"/>
    </row>
    <row r="12" spans="1:8" ht="49.2" customHeight="1">
      <c r="A12" s="336"/>
      <c r="B12" s="76"/>
      <c r="C12" s="20"/>
      <c r="D12" s="20"/>
      <c r="E12" s="196"/>
      <c r="F12" s="195"/>
      <c r="G12" s="193"/>
      <c r="H12" s="93"/>
    </row>
    <row r="13" spans="1:8" ht="24" customHeight="1">
      <c r="A13" s="337"/>
      <c r="B13" s="338" t="s">
        <v>88</v>
      </c>
      <c r="C13" s="339"/>
      <c r="D13" s="339"/>
      <c r="E13" s="340"/>
      <c r="F13" s="195">
        <f>SUM(F8:F12)</f>
        <v>50</v>
      </c>
      <c r="G13" s="81"/>
      <c r="H13" s="93"/>
    </row>
    <row r="14" spans="1:8" ht="24" customHeight="1">
      <c r="A14" s="344" t="s">
        <v>60</v>
      </c>
      <c r="B14" s="21"/>
      <c r="C14" s="19"/>
      <c r="D14" s="19"/>
      <c r="E14" s="46"/>
      <c r="F14" s="195"/>
      <c r="G14" s="89" t="s">
        <v>4</v>
      </c>
      <c r="H14" s="93"/>
    </row>
    <row r="15" spans="1:8" ht="24" customHeight="1">
      <c r="A15" s="345"/>
      <c r="B15" s="341" t="s">
        <v>88</v>
      </c>
      <c r="C15" s="342"/>
      <c r="D15" s="342"/>
      <c r="E15" s="343"/>
      <c r="F15" s="195"/>
      <c r="G15" s="92"/>
      <c r="H15" s="93"/>
    </row>
    <row r="16" spans="1:8" ht="24" customHeight="1">
      <c r="A16" s="333" t="s">
        <v>89</v>
      </c>
      <c r="B16" s="333"/>
      <c r="C16" s="333"/>
      <c r="D16" s="333"/>
      <c r="E16" s="333"/>
      <c r="F16" s="195">
        <f>SUM(F15,F13)</f>
        <v>50</v>
      </c>
      <c r="G16" s="90"/>
      <c r="H16" s="93"/>
    </row>
    <row r="17" spans="1:8" ht="24" customHeight="1">
      <c r="A17" s="357" t="s">
        <v>90</v>
      </c>
      <c r="B17" s="358"/>
      <c r="C17" s="358"/>
      <c r="D17" s="358"/>
      <c r="E17" s="358"/>
      <c r="F17" s="358"/>
      <c r="G17" s="358"/>
      <c r="H17" s="359"/>
    </row>
    <row r="18" spans="1:8" ht="24" customHeight="1">
      <c r="A18" s="355" t="s">
        <v>42</v>
      </c>
      <c r="B18" s="21"/>
      <c r="C18" s="20"/>
      <c r="D18" s="20"/>
      <c r="E18" s="45"/>
      <c r="F18" s="197"/>
      <c r="G18" s="90"/>
      <c r="H18" s="93"/>
    </row>
    <row r="19" spans="1:8" ht="24" customHeight="1">
      <c r="A19" s="356"/>
      <c r="B19" s="21"/>
      <c r="C19" s="20"/>
      <c r="D19" s="20"/>
      <c r="E19" s="45"/>
      <c r="F19" s="197"/>
      <c r="G19" s="90"/>
      <c r="H19" s="93"/>
    </row>
    <row r="20" spans="1:8" ht="24" customHeight="1">
      <c r="A20" s="356"/>
      <c r="B20" s="21"/>
      <c r="C20" s="20"/>
      <c r="D20" s="20"/>
      <c r="E20" s="45"/>
      <c r="F20" s="197"/>
      <c r="G20" s="90"/>
      <c r="H20" s="93"/>
    </row>
    <row r="21" spans="1:8" ht="24" customHeight="1">
      <c r="A21" s="333" t="s">
        <v>91</v>
      </c>
      <c r="B21" s="333"/>
      <c r="C21" s="333"/>
      <c r="D21" s="333"/>
      <c r="E21" s="333"/>
      <c r="F21" s="198">
        <f>SUM(F18:F20)</f>
        <v>0</v>
      </c>
      <c r="G21" s="90"/>
      <c r="H21" s="93"/>
    </row>
    <row r="22" spans="1:8" ht="24" customHeight="1" thickBot="1">
      <c r="A22" s="348" t="s">
        <v>367</v>
      </c>
      <c r="B22" s="349"/>
      <c r="C22" s="349"/>
      <c r="D22" s="349"/>
      <c r="E22" s="349"/>
      <c r="F22" s="199">
        <f>SUM(F16,F21)</f>
        <v>50</v>
      </c>
      <c r="G22" s="91"/>
      <c r="H22" s="100"/>
    </row>
    <row r="23" spans="1:8">
      <c r="A23" s="5" t="s">
        <v>473</v>
      </c>
    </row>
    <row r="24" spans="1:8" ht="39.6" customHeight="1"/>
    <row r="25" spans="1:8">
      <c r="A25" s="352" t="s">
        <v>70</v>
      </c>
      <c r="B25" s="352"/>
      <c r="C25" s="352"/>
      <c r="D25" s="352"/>
      <c r="E25" s="352"/>
      <c r="F25" s="352"/>
      <c r="G25" s="352"/>
    </row>
    <row r="26" spans="1:8">
      <c r="A26" s="189" t="s">
        <v>71</v>
      </c>
      <c r="B26" s="189"/>
      <c r="C26" s="189"/>
      <c r="D26" s="189"/>
      <c r="E26" s="189"/>
      <c r="F26" s="33"/>
      <c r="G26" s="189"/>
    </row>
    <row r="27" spans="1:8">
      <c r="A27" s="189" t="s">
        <v>72</v>
      </c>
      <c r="B27" s="189"/>
      <c r="C27" s="189"/>
      <c r="D27" s="189"/>
      <c r="E27" s="189"/>
      <c r="F27" s="33"/>
      <c r="G27" s="189"/>
    </row>
    <row r="28" spans="1:8">
      <c r="A28" s="189" t="s">
        <v>73</v>
      </c>
      <c r="B28" s="189"/>
      <c r="C28" s="189"/>
      <c r="D28" s="189"/>
      <c r="E28" s="189"/>
      <c r="F28" s="33"/>
      <c r="G28" s="189"/>
    </row>
    <row r="29" spans="1:8">
      <c r="A29" s="189" t="s">
        <v>103</v>
      </c>
    </row>
  </sheetData>
  <mergeCells count="16">
    <mergeCell ref="A7:H7"/>
    <mergeCell ref="A1:G1"/>
    <mergeCell ref="A3:B3"/>
    <mergeCell ref="G4:H4"/>
    <mergeCell ref="A5:G5"/>
    <mergeCell ref="A6:B6"/>
    <mergeCell ref="A18:A20"/>
    <mergeCell ref="A21:E21"/>
    <mergeCell ref="A22:E22"/>
    <mergeCell ref="A25:G25"/>
    <mergeCell ref="A8:A13"/>
    <mergeCell ref="B13:E13"/>
    <mergeCell ref="A14:A15"/>
    <mergeCell ref="B15:E15"/>
    <mergeCell ref="A16:E16"/>
    <mergeCell ref="A17:H17"/>
  </mergeCells>
  <phoneticPr fontId="1" type="noConversion"/>
  <dataValidations count="2">
    <dataValidation type="list" allowBlank="1" showInputMessage="1" showErrorMessage="1" sqref="B8:B12">
      <formula1>"講座鐘點費(內聘),講座鐘點費(外聘), 講座助理鐘點費,授課鐘點費,諮詢費,指導費,稿費,裁判費,印刷費,資料蒐集費,國內旅費,膳宿費,租車費,材料費,物品費,保險費,場地使用費,全民健康保險補充保費,設備使用費,工讀費,設備維護費,軟體設計費,軟體授權費,雜支(包含耗材)"</formula1>
    </dataValidation>
    <dataValidation type="list" allowBlank="1" showInputMessage="1" showErrorMessage="1" sqref="B14">
      <formula1>"學生獎學金,學生獎助金"</formula1>
    </dataValidation>
  </dataValidations>
  <pageMargins left="0.27559055118110237" right="0.19685039370078741" top="0.31496062992125984" bottom="0.23622047244094491" header="0.31496062992125984" footer="0.15748031496062992"/>
  <pageSetup paperSize="9" scale="81" fitToHeight="0" orientation="portrait" r:id="rId1"/>
  <headerFooter>
    <oddFooter>第 &amp;P 頁</oddFoot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view="pageBreakPreview" topLeftCell="A9" zoomScaleNormal="100" zoomScaleSheetLayoutView="100" workbookViewId="0">
      <selection activeCell="A29" sqref="A29"/>
    </sheetView>
  </sheetViews>
  <sheetFormatPr defaultRowHeight="16.2"/>
  <cols>
    <col min="1" max="1" width="8" customWidth="1"/>
    <col min="2" max="2" width="22.77734375" customWidth="1"/>
    <col min="3" max="5" width="9.33203125" customWidth="1"/>
    <col min="6" max="6" width="9.33203125" style="17" customWidth="1"/>
    <col min="7" max="7" width="44.109375" customWidth="1"/>
    <col min="8" max="8" width="6.109375" customWidth="1"/>
    <col min="9" max="9" width="15.88671875" customWidth="1"/>
    <col min="10" max="10" width="12.33203125" customWidth="1"/>
    <col min="11" max="11" width="24.44140625" customWidth="1"/>
  </cols>
  <sheetData>
    <row r="1" spans="1:8" ht="22.2">
      <c r="A1" s="332" t="s">
        <v>319</v>
      </c>
      <c r="B1" s="295"/>
      <c r="C1" s="295"/>
      <c r="D1" s="295"/>
      <c r="E1" s="295"/>
      <c r="F1" s="295"/>
      <c r="G1" s="295"/>
    </row>
    <row r="3" spans="1:8">
      <c r="A3" s="350" t="s">
        <v>410</v>
      </c>
      <c r="B3" s="351"/>
    </row>
    <row r="4" spans="1:8">
      <c r="A4" s="18" t="s">
        <v>411</v>
      </c>
      <c r="G4" s="347" t="s">
        <v>3</v>
      </c>
      <c r="H4" s="347"/>
    </row>
    <row r="5" spans="1:8" ht="16.8" thickBot="1">
      <c r="A5" s="353" t="s">
        <v>128</v>
      </c>
      <c r="B5" s="354"/>
      <c r="C5" s="354"/>
      <c r="D5" s="354"/>
      <c r="E5" s="354"/>
      <c r="F5" s="354"/>
      <c r="G5" s="354"/>
      <c r="H5" s="190"/>
    </row>
    <row r="6" spans="1:8" ht="31.5" customHeight="1">
      <c r="A6" s="334" t="s">
        <v>32</v>
      </c>
      <c r="B6" s="335"/>
      <c r="C6" s="188" t="s">
        <v>5</v>
      </c>
      <c r="D6" s="188" t="s">
        <v>6</v>
      </c>
      <c r="E6" s="95" t="s">
        <v>7</v>
      </c>
      <c r="F6" s="96" t="s">
        <v>8</v>
      </c>
      <c r="G6" s="97" t="s">
        <v>9</v>
      </c>
      <c r="H6" s="99" t="s">
        <v>102</v>
      </c>
    </row>
    <row r="7" spans="1:8" ht="24" customHeight="1">
      <c r="A7" s="346" t="s">
        <v>87</v>
      </c>
      <c r="B7" s="346"/>
      <c r="C7" s="346"/>
      <c r="D7" s="346"/>
      <c r="E7" s="346"/>
      <c r="F7" s="346"/>
      <c r="G7" s="346"/>
      <c r="H7" s="346"/>
    </row>
    <row r="8" spans="1:8" ht="77.400000000000006" customHeight="1">
      <c r="A8" s="336" t="s">
        <v>10</v>
      </c>
      <c r="B8" s="76" t="s">
        <v>139</v>
      </c>
      <c r="C8" s="75" t="s">
        <v>140</v>
      </c>
      <c r="D8" s="75">
        <v>12</v>
      </c>
      <c r="E8" s="194">
        <v>2.5</v>
      </c>
      <c r="F8" s="195">
        <f>D8*E8</f>
        <v>30</v>
      </c>
      <c r="G8" s="89" t="s">
        <v>412</v>
      </c>
      <c r="H8" s="98"/>
    </row>
    <row r="9" spans="1:8" ht="60" customHeight="1">
      <c r="A9" s="336"/>
      <c r="B9" s="76" t="s">
        <v>141</v>
      </c>
      <c r="C9" s="20" t="s">
        <v>343</v>
      </c>
      <c r="D9" s="20">
        <v>40</v>
      </c>
      <c r="E9" s="196">
        <v>0.04</v>
      </c>
      <c r="F9" s="195">
        <f t="shared" ref="F9:F11" si="0">D9*E9</f>
        <v>1.6</v>
      </c>
      <c r="G9" s="90" t="s">
        <v>414</v>
      </c>
      <c r="H9" s="93"/>
    </row>
    <row r="10" spans="1:8" ht="36.6" customHeight="1">
      <c r="A10" s="336"/>
      <c r="B10" s="76" t="s">
        <v>143</v>
      </c>
      <c r="C10" s="20" t="s">
        <v>140</v>
      </c>
      <c r="D10" s="20">
        <v>12</v>
      </c>
      <c r="E10" s="196">
        <v>1</v>
      </c>
      <c r="F10" s="195">
        <f t="shared" si="0"/>
        <v>12</v>
      </c>
      <c r="G10" s="90" t="s">
        <v>413</v>
      </c>
      <c r="H10" s="93"/>
    </row>
    <row r="11" spans="1:8" ht="33" customHeight="1">
      <c r="A11" s="336"/>
      <c r="B11" s="76" t="s">
        <v>144</v>
      </c>
      <c r="C11" s="20" t="s">
        <v>145</v>
      </c>
      <c r="D11" s="20">
        <v>80</v>
      </c>
      <c r="E11" s="196">
        <v>0.08</v>
      </c>
      <c r="F11" s="195">
        <f t="shared" si="0"/>
        <v>6.4</v>
      </c>
      <c r="G11" s="90" t="s">
        <v>416</v>
      </c>
      <c r="H11" s="93"/>
    </row>
    <row r="12" spans="1:8" ht="24" customHeight="1">
      <c r="A12" s="336"/>
      <c r="B12" s="76"/>
      <c r="C12" s="20"/>
      <c r="D12" s="20"/>
      <c r="E12" s="196"/>
      <c r="F12" s="195"/>
      <c r="G12" s="90"/>
      <c r="H12" s="93"/>
    </row>
    <row r="13" spans="1:8" ht="24" customHeight="1">
      <c r="A13" s="336"/>
      <c r="B13" s="76"/>
      <c r="C13" s="20"/>
      <c r="D13" s="20"/>
      <c r="E13" s="196"/>
      <c r="F13" s="195"/>
      <c r="G13" s="90"/>
      <c r="H13" s="93"/>
    </row>
    <row r="14" spans="1:8" ht="24" customHeight="1">
      <c r="A14" s="336"/>
      <c r="B14" s="76"/>
      <c r="C14" s="20"/>
      <c r="D14" s="20"/>
      <c r="E14" s="196"/>
      <c r="F14" s="195"/>
      <c r="G14" s="90"/>
      <c r="H14" s="93"/>
    </row>
    <row r="15" spans="1:8" ht="24" customHeight="1">
      <c r="A15" s="336"/>
      <c r="B15" s="76"/>
      <c r="C15" s="20"/>
      <c r="D15" s="20"/>
      <c r="E15" s="196"/>
      <c r="F15" s="195"/>
      <c r="G15" s="90"/>
      <c r="H15" s="93"/>
    </row>
    <row r="16" spans="1:8" ht="24" customHeight="1">
      <c r="A16" s="337"/>
      <c r="B16" s="338" t="s">
        <v>88</v>
      </c>
      <c r="C16" s="339"/>
      <c r="D16" s="339"/>
      <c r="E16" s="340"/>
      <c r="F16" s="198">
        <f>SUM(F3:F15)</f>
        <v>50</v>
      </c>
      <c r="G16" s="81"/>
      <c r="H16" s="93"/>
    </row>
    <row r="17" spans="1:8" ht="24" customHeight="1">
      <c r="A17" s="344" t="s">
        <v>60</v>
      </c>
      <c r="B17" s="21"/>
      <c r="C17" s="19"/>
      <c r="D17" s="19"/>
      <c r="E17" s="46"/>
      <c r="F17" s="195"/>
      <c r="G17" s="89" t="s">
        <v>4</v>
      </c>
      <c r="H17" s="93"/>
    </row>
    <row r="18" spans="1:8" ht="24" customHeight="1">
      <c r="A18" s="345"/>
      <c r="B18" s="21"/>
      <c r="C18" s="79"/>
      <c r="D18" s="79"/>
      <c r="E18" s="80"/>
      <c r="F18" s="197"/>
      <c r="G18" s="90"/>
      <c r="H18" s="93"/>
    </row>
    <row r="19" spans="1:8" ht="24" customHeight="1">
      <c r="A19" s="345"/>
      <c r="B19" s="341" t="s">
        <v>88</v>
      </c>
      <c r="C19" s="342"/>
      <c r="D19" s="342"/>
      <c r="E19" s="343"/>
      <c r="F19" s="200"/>
      <c r="G19" s="92"/>
      <c r="H19" s="93"/>
    </row>
    <row r="20" spans="1:8" ht="24" customHeight="1">
      <c r="A20" s="333" t="s">
        <v>89</v>
      </c>
      <c r="B20" s="333"/>
      <c r="C20" s="333"/>
      <c r="D20" s="333"/>
      <c r="E20" s="333"/>
      <c r="F20" s="198">
        <f>SUM(F19,F16)</f>
        <v>50</v>
      </c>
      <c r="G20" s="90"/>
      <c r="H20" s="93"/>
    </row>
    <row r="21" spans="1:8" ht="24" customHeight="1">
      <c r="A21" s="357" t="s">
        <v>90</v>
      </c>
      <c r="B21" s="358"/>
      <c r="C21" s="358"/>
      <c r="D21" s="358"/>
      <c r="E21" s="358"/>
      <c r="F21" s="358"/>
      <c r="G21" s="358"/>
      <c r="H21" s="359"/>
    </row>
    <row r="22" spans="1:8" ht="24" customHeight="1">
      <c r="A22" s="360" t="s">
        <v>42</v>
      </c>
      <c r="B22" s="21" t="s">
        <v>4</v>
      </c>
      <c r="C22" s="20" t="s">
        <v>4</v>
      </c>
      <c r="D22" s="20"/>
      <c r="E22" s="45"/>
      <c r="F22" s="197"/>
      <c r="G22" s="90" t="s">
        <v>4</v>
      </c>
      <c r="H22" s="93"/>
    </row>
    <row r="23" spans="1:8" ht="24" customHeight="1">
      <c r="A23" s="360"/>
      <c r="B23" s="21"/>
      <c r="C23" s="20"/>
      <c r="D23" s="20"/>
      <c r="E23" s="45"/>
      <c r="F23" s="197"/>
      <c r="G23" s="90"/>
      <c r="H23" s="93"/>
    </row>
    <row r="24" spans="1:8" ht="24" customHeight="1">
      <c r="A24" s="360"/>
      <c r="B24" s="21"/>
      <c r="C24" s="20"/>
      <c r="D24" s="20"/>
      <c r="E24" s="45"/>
      <c r="F24" s="197"/>
      <c r="G24" s="90"/>
      <c r="H24" s="93"/>
    </row>
    <row r="25" spans="1:8" ht="24" customHeight="1">
      <c r="A25" s="360"/>
      <c r="B25" s="21"/>
      <c r="C25" s="20"/>
      <c r="D25" s="20"/>
      <c r="E25" s="45"/>
      <c r="F25" s="197"/>
      <c r="G25" s="90"/>
      <c r="H25" s="93"/>
    </row>
    <row r="26" spans="1:8" ht="24" customHeight="1">
      <c r="A26" s="360"/>
      <c r="B26" s="21" t="s">
        <v>4</v>
      </c>
      <c r="C26" s="20" t="s">
        <v>4</v>
      </c>
      <c r="D26" s="20"/>
      <c r="E26" s="45"/>
      <c r="F26" s="197"/>
      <c r="G26" s="90" t="s">
        <v>4</v>
      </c>
      <c r="H26" s="93"/>
    </row>
    <row r="27" spans="1:8" ht="24" customHeight="1">
      <c r="A27" s="333" t="s">
        <v>91</v>
      </c>
      <c r="B27" s="333"/>
      <c r="C27" s="333"/>
      <c r="D27" s="333"/>
      <c r="E27" s="333"/>
      <c r="F27" s="198">
        <f>SUM(F22:F26)</f>
        <v>0</v>
      </c>
      <c r="G27" s="90"/>
      <c r="H27" s="93"/>
    </row>
    <row r="28" spans="1:8" ht="24" customHeight="1" thickBot="1">
      <c r="A28" s="348" t="s">
        <v>127</v>
      </c>
      <c r="B28" s="349"/>
      <c r="C28" s="349"/>
      <c r="D28" s="349"/>
      <c r="E28" s="349"/>
      <c r="F28" s="199">
        <f>SUM(F20,F27)</f>
        <v>50</v>
      </c>
      <c r="G28" s="91"/>
      <c r="H28" s="100"/>
    </row>
    <row r="29" spans="1:8">
      <c r="A29" s="5" t="s">
        <v>473</v>
      </c>
    </row>
    <row r="30" spans="1:8" ht="35.4" customHeight="1"/>
    <row r="31" spans="1:8">
      <c r="A31" s="352" t="s">
        <v>70</v>
      </c>
      <c r="B31" s="352"/>
      <c r="C31" s="352"/>
      <c r="D31" s="352"/>
      <c r="E31" s="352"/>
      <c r="F31" s="352"/>
      <c r="G31" s="352"/>
    </row>
    <row r="32" spans="1:8">
      <c r="A32" s="189" t="s">
        <v>71</v>
      </c>
      <c r="B32" s="189"/>
      <c r="C32" s="189"/>
      <c r="D32" s="189"/>
      <c r="E32" s="189"/>
      <c r="F32" s="33"/>
      <c r="G32" s="189"/>
    </row>
    <row r="33" spans="1:7">
      <c r="A33" s="189" t="s">
        <v>72</v>
      </c>
      <c r="B33" s="189"/>
      <c r="C33" s="189"/>
      <c r="D33" s="189"/>
      <c r="E33" s="189"/>
      <c r="F33" s="33"/>
      <c r="G33" s="189"/>
    </row>
    <row r="34" spans="1:7">
      <c r="A34" s="189" t="s">
        <v>73</v>
      </c>
      <c r="B34" s="189"/>
      <c r="C34" s="189"/>
      <c r="D34" s="189"/>
      <c r="E34" s="189"/>
      <c r="F34" s="33"/>
      <c r="G34" s="189"/>
    </row>
    <row r="35" spans="1:7">
      <c r="A35" s="189" t="s">
        <v>103</v>
      </c>
    </row>
  </sheetData>
  <mergeCells count="16">
    <mergeCell ref="A7:H7"/>
    <mergeCell ref="A1:G1"/>
    <mergeCell ref="A3:B3"/>
    <mergeCell ref="G4:H4"/>
    <mergeCell ref="A5:G5"/>
    <mergeCell ref="A6:B6"/>
    <mergeCell ref="A22:A26"/>
    <mergeCell ref="A27:E27"/>
    <mergeCell ref="A28:E28"/>
    <mergeCell ref="A31:G31"/>
    <mergeCell ref="A8:A16"/>
    <mergeCell ref="B16:E16"/>
    <mergeCell ref="A17:A19"/>
    <mergeCell ref="B19:E19"/>
    <mergeCell ref="A20:E20"/>
    <mergeCell ref="A21:H21"/>
  </mergeCells>
  <phoneticPr fontId="1" type="noConversion"/>
  <dataValidations count="2">
    <dataValidation type="list" allowBlank="1" showInputMessage="1" showErrorMessage="1" sqref="B8:B15">
      <formula1>"講座鐘點費(內聘),講座鐘點費(外聘), 講座助理鐘點費,授課鐘點費,諮詢費,指導費,稿費,裁判費,印刷費,資料蒐集費,國內旅費,膳宿費,租車費,材料費,物品費,保險費,場地使用費,全民健康保險補充保費,設備使用費,工讀費,設備維護費,軟體設計費,軟體授權費,雜支(包含耗材)"</formula1>
    </dataValidation>
    <dataValidation type="list" allowBlank="1" showInputMessage="1" showErrorMessage="1" sqref="B17:B18">
      <formula1>"學生獎學金,學生獎助金"</formula1>
    </dataValidation>
  </dataValidations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Footer>第 &amp;P 頁</oddFoot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view="pageBreakPreview" zoomScale="85" zoomScaleNormal="100" zoomScaleSheetLayoutView="85" workbookViewId="0">
      <pane xSplit="1" ySplit="7" topLeftCell="B10" activePane="bottomRight" state="frozen"/>
      <selection pane="topRight" activeCell="B1" sqref="B1"/>
      <selection pane="bottomLeft" activeCell="A8" sqref="A8"/>
      <selection pane="bottomRight" activeCell="G12" sqref="G12"/>
    </sheetView>
  </sheetViews>
  <sheetFormatPr defaultRowHeight="16.2"/>
  <cols>
    <col min="1" max="1" width="8" customWidth="1"/>
    <col min="2" max="2" width="20.44140625" customWidth="1"/>
    <col min="3" max="3" width="5.109375" customWidth="1"/>
    <col min="4" max="4" width="6.88671875" customWidth="1"/>
    <col min="5" max="5" width="9.33203125" customWidth="1"/>
    <col min="6" max="6" width="9.88671875" style="17" bestFit="1" customWidth="1"/>
    <col min="7" max="7" width="55.33203125" customWidth="1"/>
    <col min="8" max="8" width="6.109375" customWidth="1"/>
    <col min="9" max="9" width="15.88671875" customWidth="1"/>
    <col min="10" max="10" width="12.33203125" customWidth="1"/>
    <col min="11" max="11" width="24.44140625" customWidth="1"/>
  </cols>
  <sheetData>
    <row r="1" spans="1:8" ht="22.2">
      <c r="A1" s="332" t="s">
        <v>318</v>
      </c>
      <c r="B1" s="295"/>
      <c r="C1" s="295"/>
      <c r="D1" s="295"/>
      <c r="E1" s="295"/>
      <c r="F1" s="295"/>
      <c r="G1" s="295"/>
    </row>
    <row r="3" spans="1:8">
      <c r="A3" s="350" t="s">
        <v>419</v>
      </c>
      <c r="B3" s="351"/>
    </row>
    <row r="4" spans="1:8">
      <c r="A4" s="18" t="s">
        <v>420</v>
      </c>
      <c r="G4" s="347" t="s">
        <v>3</v>
      </c>
      <c r="H4" s="347"/>
    </row>
    <row r="5" spans="1:8" ht="16.8" thickBot="1">
      <c r="A5" s="353" t="s">
        <v>126</v>
      </c>
      <c r="B5" s="354"/>
      <c r="C5" s="354"/>
      <c r="D5" s="354"/>
      <c r="E5" s="354"/>
      <c r="F5" s="354"/>
      <c r="G5" s="354"/>
      <c r="H5" s="190"/>
    </row>
    <row r="6" spans="1:8" ht="31.5" customHeight="1">
      <c r="A6" s="334" t="s">
        <v>32</v>
      </c>
      <c r="B6" s="335"/>
      <c r="C6" s="188" t="s">
        <v>5</v>
      </c>
      <c r="D6" s="188" t="s">
        <v>6</v>
      </c>
      <c r="E6" s="95" t="s">
        <v>7</v>
      </c>
      <c r="F6" s="96" t="s">
        <v>8</v>
      </c>
      <c r="G6" s="97" t="s">
        <v>9</v>
      </c>
      <c r="H6" s="101" t="s">
        <v>102</v>
      </c>
    </row>
    <row r="7" spans="1:8" ht="24" customHeight="1">
      <c r="A7" s="346" t="s">
        <v>87</v>
      </c>
      <c r="B7" s="346"/>
      <c r="C7" s="346"/>
      <c r="D7" s="346"/>
      <c r="E7" s="346"/>
      <c r="F7" s="346"/>
      <c r="G7" s="346"/>
      <c r="H7" s="346"/>
    </row>
    <row r="8" spans="1:8" ht="74.400000000000006" customHeight="1">
      <c r="A8" s="336" t="s">
        <v>10</v>
      </c>
      <c r="B8" s="76" t="s">
        <v>144</v>
      </c>
      <c r="C8" s="75" t="s">
        <v>145</v>
      </c>
      <c r="D8" s="75">
        <v>40</v>
      </c>
      <c r="E8" s="194">
        <v>0.08</v>
      </c>
      <c r="F8" s="195">
        <f>D8*E8</f>
        <v>3.2</v>
      </c>
      <c r="G8" s="192" t="s">
        <v>480</v>
      </c>
      <c r="H8" s="98"/>
    </row>
    <row r="9" spans="1:8" ht="98.4" customHeight="1">
      <c r="A9" s="336"/>
      <c r="B9" s="76" t="s">
        <v>146</v>
      </c>
      <c r="C9" s="20" t="s">
        <v>147</v>
      </c>
      <c r="D9" s="20">
        <v>1</v>
      </c>
      <c r="E9" s="196">
        <v>12</v>
      </c>
      <c r="F9" s="195">
        <f t="shared" ref="F9:F11" si="0">D9*E9</f>
        <v>12</v>
      </c>
      <c r="G9" s="193" t="s">
        <v>481</v>
      </c>
      <c r="H9" s="93"/>
    </row>
    <row r="10" spans="1:8" ht="47.4" customHeight="1">
      <c r="A10" s="336"/>
      <c r="B10" s="76" t="s">
        <v>150</v>
      </c>
      <c r="C10" s="20" t="s">
        <v>462</v>
      </c>
      <c r="D10" s="20">
        <v>40</v>
      </c>
      <c r="E10" s="196">
        <v>0.03</v>
      </c>
      <c r="F10" s="195">
        <f t="shared" si="0"/>
        <v>1.2</v>
      </c>
      <c r="G10" s="193" t="s">
        <v>418</v>
      </c>
      <c r="H10" s="93"/>
    </row>
    <row r="11" spans="1:8" ht="54" customHeight="1">
      <c r="A11" s="336"/>
      <c r="B11" s="76" t="s">
        <v>158</v>
      </c>
      <c r="C11" s="20" t="s">
        <v>155</v>
      </c>
      <c r="D11" s="20">
        <v>1</v>
      </c>
      <c r="E11" s="196">
        <v>3.6</v>
      </c>
      <c r="F11" s="195">
        <f t="shared" si="0"/>
        <v>3.6</v>
      </c>
      <c r="G11" s="193" t="s">
        <v>485</v>
      </c>
      <c r="H11" s="93"/>
    </row>
    <row r="12" spans="1:8" ht="49.2" customHeight="1">
      <c r="A12" s="336"/>
      <c r="B12" s="76"/>
      <c r="C12" s="20"/>
      <c r="D12" s="20"/>
      <c r="E12" s="196"/>
      <c r="F12" s="195"/>
      <c r="G12" s="193"/>
      <c r="H12" s="93"/>
    </row>
    <row r="13" spans="1:8" ht="24" customHeight="1">
      <c r="A13" s="337"/>
      <c r="B13" s="338" t="s">
        <v>88</v>
      </c>
      <c r="C13" s="339"/>
      <c r="D13" s="339"/>
      <c r="E13" s="340"/>
      <c r="F13" s="195">
        <f>SUM(F8:F12)</f>
        <v>20</v>
      </c>
      <c r="G13" s="81"/>
      <c r="H13" s="93"/>
    </row>
    <row r="14" spans="1:8" ht="24" customHeight="1">
      <c r="A14" s="344" t="s">
        <v>60</v>
      </c>
      <c r="B14" s="21"/>
      <c r="C14" s="19"/>
      <c r="D14" s="19"/>
      <c r="E14" s="46"/>
      <c r="F14" s="195"/>
      <c r="G14" s="89" t="s">
        <v>4</v>
      </c>
      <c r="H14" s="93"/>
    </row>
    <row r="15" spans="1:8" ht="24" customHeight="1">
      <c r="A15" s="345"/>
      <c r="B15" s="341" t="s">
        <v>88</v>
      </c>
      <c r="C15" s="342"/>
      <c r="D15" s="342"/>
      <c r="E15" s="343"/>
      <c r="F15" s="195"/>
      <c r="G15" s="92"/>
      <c r="H15" s="93"/>
    </row>
    <row r="16" spans="1:8" ht="24" customHeight="1">
      <c r="A16" s="333" t="s">
        <v>89</v>
      </c>
      <c r="B16" s="333"/>
      <c r="C16" s="333"/>
      <c r="D16" s="333"/>
      <c r="E16" s="333"/>
      <c r="F16" s="195">
        <f>SUM(F15,F13)</f>
        <v>20</v>
      </c>
      <c r="G16" s="90"/>
      <c r="H16" s="93"/>
    </row>
    <row r="17" spans="1:8" ht="24" customHeight="1">
      <c r="A17" s="357" t="s">
        <v>90</v>
      </c>
      <c r="B17" s="358"/>
      <c r="C17" s="358"/>
      <c r="D17" s="358"/>
      <c r="E17" s="358"/>
      <c r="F17" s="358"/>
      <c r="G17" s="358"/>
      <c r="H17" s="359"/>
    </row>
    <row r="18" spans="1:8" ht="24" customHeight="1">
      <c r="A18" s="355" t="s">
        <v>42</v>
      </c>
      <c r="B18" s="21"/>
      <c r="C18" s="20"/>
      <c r="D18" s="20"/>
      <c r="E18" s="45"/>
      <c r="F18" s="197"/>
      <c r="G18" s="90"/>
      <c r="H18" s="93"/>
    </row>
    <row r="19" spans="1:8" ht="24" customHeight="1">
      <c r="A19" s="356"/>
      <c r="B19" s="21"/>
      <c r="C19" s="20"/>
      <c r="D19" s="20"/>
      <c r="E19" s="45"/>
      <c r="F19" s="197"/>
      <c r="G19" s="90"/>
      <c r="H19" s="93"/>
    </row>
    <row r="20" spans="1:8" ht="24" customHeight="1">
      <c r="A20" s="356"/>
      <c r="B20" s="21"/>
      <c r="C20" s="20"/>
      <c r="D20" s="20"/>
      <c r="E20" s="45"/>
      <c r="F20" s="197"/>
      <c r="G20" s="90"/>
      <c r="H20" s="93"/>
    </row>
    <row r="21" spans="1:8" ht="24" customHeight="1">
      <c r="A21" s="333" t="s">
        <v>91</v>
      </c>
      <c r="B21" s="333"/>
      <c r="C21" s="333"/>
      <c r="D21" s="333"/>
      <c r="E21" s="333"/>
      <c r="F21" s="198">
        <f>SUM(F18:F20)</f>
        <v>0</v>
      </c>
      <c r="G21" s="90"/>
      <c r="H21" s="93"/>
    </row>
    <row r="22" spans="1:8" ht="24" customHeight="1" thickBot="1">
      <c r="A22" s="348" t="s">
        <v>367</v>
      </c>
      <c r="B22" s="349"/>
      <c r="C22" s="349"/>
      <c r="D22" s="349"/>
      <c r="E22" s="349"/>
      <c r="F22" s="199">
        <f>SUM(F16,F21)</f>
        <v>20</v>
      </c>
      <c r="G22" s="91"/>
      <c r="H22" s="100"/>
    </row>
    <row r="23" spans="1:8">
      <c r="A23" s="5" t="s">
        <v>473</v>
      </c>
    </row>
    <row r="24" spans="1:8" ht="41.4" customHeight="1"/>
    <row r="25" spans="1:8">
      <c r="A25" s="352" t="s">
        <v>70</v>
      </c>
      <c r="B25" s="352"/>
      <c r="C25" s="352"/>
      <c r="D25" s="352"/>
      <c r="E25" s="352"/>
      <c r="F25" s="352"/>
      <c r="G25" s="352"/>
    </row>
    <row r="26" spans="1:8">
      <c r="A26" s="189" t="s">
        <v>71</v>
      </c>
      <c r="B26" s="189"/>
      <c r="C26" s="189"/>
      <c r="D26" s="189"/>
      <c r="E26" s="189"/>
      <c r="F26" s="33"/>
      <c r="G26" s="189"/>
    </row>
    <row r="27" spans="1:8">
      <c r="A27" s="189" t="s">
        <v>72</v>
      </c>
      <c r="B27" s="189"/>
      <c r="C27" s="189"/>
      <c r="D27" s="189"/>
      <c r="E27" s="189"/>
      <c r="F27" s="33"/>
      <c r="G27" s="189"/>
    </row>
    <row r="28" spans="1:8">
      <c r="A28" s="189" t="s">
        <v>73</v>
      </c>
      <c r="B28" s="189"/>
      <c r="C28" s="189"/>
      <c r="D28" s="189"/>
      <c r="E28" s="189"/>
      <c r="F28" s="33"/>
      <c r="G28" s="189"/>
    </row>
    <row r="29" spans="1:8">
      <c r="A29" s="189" t="s">
        <v>103</v>
      </c>
    </row>
  </sheetData>
  <mergeCells count="16">
    <mergeCell ref="A7:H7"/>
    <mergeCell ref="A1:G1"/>
    <mergeCell ref="A3:B3"/>
    <mergeCell ref="G4:H4"/>
    <mergeCell ref="A5:G5"/>
    <mergeCell ref="A6:B6"/>
    <mergeCell ref="A18:A20"/>
    <mergeCell ref="A21:E21"/>
    <mergeCell ref="A22:E22"/>
    <mergeCell ref="A25:G25"/>
    <mergeCell ref="A8:A13"/>
    <mergeCell ref="B13:E13"/>
    <mergeCell ref="A14:A15"/>
    <mergeCell ref="B15:E15"/>
    <mergeCell ref="A16:E16"/>
    <mergeCell ref="A17:H17"/>
  </mergeCells>
  <phoneticPr fontId="1" type="noConversion"/>
  <dataValidations count="2">
    <dataValidation type="list" allowBlank="1" showInputMessage="1" showErrorMessage="1" sqref="B14">
      <formula1>"學生獎學金,學生獎助金"</formula1>
    </dataValidation>
    <dataValidation type="list" allowBlank="1" showInputMessage="1" showErrorMessage="1" sqref="B8:B12">
      <formula1>"講座鐘點費(內聘),講座鐘點費(外聘), 講座助理鐘點費,授課鐘點費,諮詢費,指導費,稿費,裁判費,印刷費,資料蒐集費,國內旅費,膳宿費,租車費,材料費,物品費,保險費,場地使用費,全民健康保險補充保費,設備使用費,工讀費,設備維護費,軟體設計費,軟體授權費,雜支(包含耗材)"</formula1>
    </dataValidation>
  </dataValidations>
  <pageMargins left="0.27559055118110237" right="0.19685039370078741" top="0.31496062992125984" bottom="0.23622047244094491" header="0.31496062992125984" footer="0.15748031496062992"/>
  <pageSetup paperSize="9" scale="81" fitToHeight="0" orientation="portrait" r:id="rId1"/>
  <headerFooter>
    <oddFooter>第 &amp;P 頁</oddFoot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view="pageBreakPreview" topLeftCell="A11" zoomScaleNormal="100" zoomScaleSheetLayoutView="100" workbookViewId="0">
      <selection activeCell="G17" sqref="G17"/>
    </sheetView>
  </sheetViews>
  <sheetFormatPr defaultRowHeight="16.2"/>
  <cols>
    <col min="1" max="1" width="8" customWidth="1"/>
    <col min="2" max="2" width="22.77734375" customWidth="1"/>
    <col min="3" max="5" width="9.33203125" customWidth="1"/>
    <col min="6" max="6" width="9.33203125" style="17" customWidth="1"/>
    <col min="7" max="7" width="44.109375" customWidth="1"/>
    <col min="8" max="8" width="6.109375" customWidth="1"/>
    <col min="9" max="9" width="15.88671875" customWidth="1"/>
    <col min="10" max="10" width="12.33203125" customWidth="1"/>
    <col min="11" max="11" width="24.44140625" customWidth="1"/>
  </cols>
  <sheetData>
    <row r="1" spans="1:8" ht="22.2">
      <c r="A1" s="332" t="s">
        <v>319</v>
      </c>
      <c r="B1" s="295"/>
      <c r="C1" s="295"/>
      <c r="D1" s="295"/>
      <c r="E1" s="295"/>
      <c r="F1" s="295"/>
      <c r="G1" s="295"/>
    </row>
    <row r="3" spans="1:8">
      <c r="A3" s="350" t="s">
        <v>419</v>
      </c>
      <c r="B3" s="351"/>
    </row>
    <row r="4" spans="1:8">
      <c r="A4" s="18" t="s">
        <v>420</v>
      </c>
      <c r="G4" s="347" t="s">
        <v>3</v>
      </c>
      <c r="H4" s="347"/>
    </row>
    <row r="5" spans="1:8" ht="16.8" thickBot="1">
      <c r="A5" s="353" t="s">
        <v>128</v>
      </c>
      <c r="B5" s="354"/>
      <c r="C5" s="354"/>
      <c r="D5" s="354"/>
      <c r="E5" s="354"/>
      <c r="F5" s="354"/>
      <c r="G5" s="354"/>
      <c r="H5" s="190"/>
    </row>
    <row r="6" spans="1:8" ht="31.5" customHeight="1">
      <c r="A6" s="334" t="s">
        <v>32</v>
      </c>
      <c r="B6" s="335"/>
      <c r="C6" s="188" t="s">
        <v>5</v>
      </c>
      <c r="D6" s="188" t="s">
        <v>6</v>
      </c>
      <c r="E6" s="95" t="s">
        <v>7</v>
      </c>
      <c r="F6" s="96" t="s">
        <v>8</v>
      </c>
      <c r="G6" s="97" t="s">
        <v>9</v>
      </c>
      <c r="H6" s="99" t="s">
        <v>102</v>
      </c>
    </row>
    <row r="7" spans="1:8" ht="24" customHeight="1">
      <c r="A7" s="346" t="s">
        <v>87</v>
      </c>
      <c r="B7" s="346"/>
      <c r="C7" s="346"/>
      <c r="D7" s="346"/>
      <c r="E7" s="346"/>
      <c r="F7" s="346"/>
      <c r="G7" s="346"/>
      <c r="H7" s="346"/>
    </row>
    <row r="8" spans="1:8" ht="77.400000000000006" customHeight="1">
      <c r="A8" s="336" t="s">
        <v>10</v>
      </c>
      <c r="B8" s="76" t="s">
        <v>144</v>
      </c>
      <c r="C8" s="75" t="s">
        <v>145</v>
      </c>
      <c r="D8" s="75">
        <v>40</v>
      </c>
      <c r="E8" s="194">
        <v>0.08</v>
      </c>
      <c r="F8" s="195">
        <f>D8*E8</f>
        <v>3.2</v>
      </c>
      <c r="G8" s="89" t="s">
        <v>482</v>
      </c>
      <c r="H8" s="98"/>
    </row>
    <row r="9" spans="1:8" ht="60" customHeight="1">
      <c r="A9" s="336"/>
      <c r="B9" s="76" t="s">
        <v>146</v>
      </c>
      <c r="C9" s="20" t="s">
        <v>147</v>
      </c>
      <c r="D9" s="20">
        <v>1</v>
      </c>
      <c r="E9" s="196">
        <v>12</v>
      </c>
      <c r="F9" s="195">
        <f t="shared" ref="F9:F11" si="0">D9*E9</f>
        <v>12</v>
      </c>
      <c r="G9" s="90" t="s">
        <v>483</v>
      </c>
      <c r="H9" s="93"/>
    </row>
    <row r="10" spans="1:8" ht="36.6" customHeight="1">
      <c r="A10" s="336"/>
      <c r="B10" s="76" t="s">
        <v>150</v>
      </c>
      <c r="C10" s="20" t="s">
        <v>463</v>
      </c>
      <c r="D10" s="20">
        <v>40</v>
      </c>
      <c r="E10" s="196">
        <v>0.03</v>
      </c>
      <c r="F10" s="195">
        <f t="shared" si="0"/>
        <v>1.2</v>
      </c>
      <c r="G10" s="90" t="s">
        <v>418</v>
      </c>
      <c r="H10" s="93"/>
    </row>
    <row r="11" spans="1:8" ht="33" customHeight="1">
      <c r="A11" s="336"/>
      <c r="B11" s="76" t="s">
        <v>158</v>
      </c>
      <c r="C11" s="20" t="s">
        <v>155</v>
      </c>
      <c r="D11" s="20">
        <v>1</v>
      </c>
      <c r="E11" s="196">
        <v>3.6</v>
      </c>
      <c r="F11" s="195">
        <f t="shared" si="0"/>
        <v>3.6</v>
      </c>
      <c r="G11" s="90" t="s">
        <v>485</v>
      </c>
      <c r="H11" s="93"/>
    </row>
    <row r="12" spans="1:8" ht="24" customHeight="1">
      <c r="A12" s="336"/>
      <c r="B12" s="76"/>
      <c r="C12" s="20"/>
      <c r="D12" s="20"/>
      <c r="E12" s="196"/>
      <c r="F12" s="195"/>
      <c r="G12" s="90"/>
      <c r="H12" s="93"/>
    </row>
    <row r="13" spans="1:8" ht="24" customHeight="1">
      <c r="A13" s="336"/>
      <c r="B13" s="76"/>
      <c r="C13" s="20"/>
      <c r="D13" s="20"/>
      <c r="E13" s="196"/>
      <c r="F13" s="195"/>
      <c r="G13" s="90"/>
      <c r="H13" s="93"/>
    </row>
    <row r="14" spans="1:8" ht="24" customHeight="1">
      <c r="A14" s="336"/>
      <c r="B14" s="76"/>
      <c r="C14" s="20"/>
      <c r="D14" s="20"/>
      <c r="E14" s="196"/>
      <c r="F14" s="195"/>
      <c r="G14" s="90"/>
      <c r="H14" s="93"/>
    </row>
    <row r="15" spans="1:8" ht="24" customHeight="1">
      <c r="A15" s="336"/>
      <c r="B15" s="76"/>
      <c r="C15" s="20"/>
      <c r="D15" s="20"/>
      <c r="E15" s="196"/>
      <c r="F15" s="195"/>
      <c r="G15" s="90"/>
      <c r="H15" s="93"/>
    </row>
    <row r="16" spans="1:8" ht="24" customHeight="1">
      <c r="A16" s="337"/>
      <c r="B16" s="338" t="s">
        <v>88</v>
      </c>
      <c r="C16" s="339"/>
      <c r="D16" s="339"/>
      <c r="E16" s="340"/>
      <c r="F16" s="198">
        <f>SUM(F3:F15)</f>
        <v>20</v>
      </c>
      <c r="G16" s="81"/>
      <c r="H16" s="93"/>
    </row>
    <row r="17" spans="1:8" ht="24" customHeight="1">
      <c r="A17" s="344" t="s">
        <v>60</v>
      </c>
      <c r="B17" s="21"/>
      <c r="C17" s="19"/>
      <c r="D17" s="19"/>
      <c r="E17" s="46"/>
      <c r="F17" s="195"/>
      <c r="G17" s="89" t="s">
        <v>4</v>
      </c>
      <c r="H17" s="93"/>
    </row>
    <row r="18" spans="1:8" ht="24" customHeight="1">
      <c r="A18" s="345"/>
      <c r="B18" s="21"/>
      <c r="C18" s="79"/>
      <c r="D18" s="79"/>
      <c r="E18" s="80"/>
      <c r="F18" s="197"/>
      <c r="G18" s="90"/>
      <c r="H18" s="93"/>
    </row>
    <row r="19" spans="1:8" ht="24" customHeight="1">
      <c r="A19" s="345"/>
      <c r="B19" s="341" t="s">
        <v>88</v>
      </c>
      <c r="C19" s="342"/>
      <c r="D19" s="342"/>
      <c r="E19" s="343"/>
      <c r="F19" s="200"/>
      <c r="G19" s="92"/>
      <c r="H19" s="93"/>
    </row>
    <row r="20" spans="1:8" ht="24" customHeight="1">
      <c r="A20" s="333" t="s">
        <v>89</v>
      </c>
      <c r="B20" s="333"/>
      <c r="C20" s="333"/>
      <c r="D20" s="333"/>
      <c r="E20" s="333"/>
      <c r="F20" s="198">
        <f>SUM(F19,F16)</f>
        <v>20</v>
      </c>
      <c r="G20" s="90"/>
      <c r="H20" s="93"/>
    </row>
    <row r="21" spans="1:8" ht="24" customHeight="1">
      <c r="A21" s="357" t="s">
        <v>90</v>
      </c>
      <c r="B21" s="358"/>
      <c r="C21" s="358"/>
      <c r="D21" s="358"/>
      <c r="E21" s="358"/>
      <c r="F21" s="358"/>
      <c r="G21" s="358"/>
      <c r="H21" s="359"/>
    </row>
    <row r="22" spans="1:8" ht="24" customHeight="1">
      <c r="A22" s="360" t="s">
        <v>42</v>
      </c>
      <c r="B22" s="21" t="s">
        <v>4</v>
      </c>
      <c r="C22" s="20" t="s">
        <v>4</v>
      </c>
      <c r="D22" s="20"/>
      <c r="E22" s="45"/>
      <c r="F22" s="197"/>
      <c r="G22" s="90" t="s">
        <v>4</v>
      </c>
      <c r="H22" s="93"/>
    </row>
    <row r="23" spans="1:8" ht="24" customHeight="1">
      <c r="A23" s="360"/>
      <c r="B23" s="21"/>
      <c r="C23" s="20"/>
      <c r="D23" s="20"/>
      <c r="E23" s="45"/>
      <c r="F23" s="197"/>
      <c r="G23" s="90"/>
      <c r="H23" s="93"/>
    </row>
    <row r="24" spans="1:8" ht="24" customHeight="1">
      <c r="A24" s="360"/>
      <c r="B24" s="21"/>
      <c r="C24" s="20"/>
      <c r="D24" s="20"/>
      <c r="E24" s="45"/>
      <c r="F24" s="197"/>
      <c r="G24" s="90"/>
      <c r="H24" s="93"/>
    </row>
    <row r="25" spans="1:8" ht="24" customHeight="1">
      <c r="A25" s="360"/>
      <c r="B25" s="21"/>
      <c r="C25" s="20"/>
      <c r="D25" s="20"/>
      <c r="E25" s="45"/>
      <c r="F25" s="197"/>
      <c r="G25" s="90"/>
      <c r="H25" s="93"/>
    </row>
    <row r="26" spans="1:8" ht="24" customHeight="1">
      <c r="A26" s="360"/>
      <c r="B26" s="21" t="s">
        <v>4</v>
      </c>
      <c r="C26" s="20" t="s">
        <v>4</v>
      </c>
      <c r="D26" s="20"/>
      <c r="E26" s="45"/>
      <c r="F26" s="197"/>
      <c r="G26" s="90" t="s">
        <v>4</v>
      </c>
      <c r="H26" s="93"/>
    </row>
    <row r="27" spans="1:8" ht="24" customHeight="1">
      <c r="A27" s="333" t="s">
        <v>91</v>
      </c>
      <c r="B27" s="333"/>
      <c r="C27" s="333"/>
      <c r="D27" s="333"/>
      <c r="E27" s="333"/>
      <c r="F27" s="198">
        <f>SUM(F22:F26)</f>
        <v>0</v>
      </c>
      <c r="G27" s="90"/>
      <c r="H27" s="93"/>
    </row>
    <row r="28" spans="1:8" ht="24" customHeight="1" thickBot="1">
      <c r="A28" s="348" t="s">
        <v>127</v>
      </c>
      <c r="B28" s="349"/>
      <c r="C28" s="349"/>
      <c r="D28" s="349"/>
      <c r="E28" s="349"/>
      <c r="F28" s="199">
        <f>SUM(F20,F27)</f>
        <v>20</v>
      </c>
      <c r="G28" s="91"/>
      <c r="H28" s="100"/>
    </row>
    <row r="29" spans="1:8">
      <c r="A29" s="5" t="s">
        <v>473</v>
      </c>
    </row>
    <row r="30" spans="1:8" ht="39" customHeight="1"/>
    <row r="31" spans="1:8">
      <c r="A31" s="352" t="s">
        <v>70</v>
      </c>
      <c r="B31" s="352"/>
      <c r="C31" s="352"/>
      <c r="D31" s="352"/>
      <c r="E31" s="352"/>
      <c r="F31" s="352"/>
      <c r="G31" s="352"/>
    </row>
    <row r="32" spans="1:8">
      <c r="A32" s="189" t="s">
        <v>71</v>
      </c>
      <c r="B32" s="189"/>
      <c r="C32" s="189"/>
      <c r="D32" s="189"/>
      <c r="E32" s="189"/>
      <c r="F32" s="33"/>
      <c r="G32" s="189"/>
    </row>
    <row r="33" spans="1:7">
      <c r="A33" s="189" t="s">
        <v>72</v>
      </c>
      <c r="B33" s="189"/>
      <c r="C33" s="189"/>
      <c r="D33" s="189"/>
      <c r="E33" s="189"/>
      <c r="F33" s="33"/>
      <c r="G33" s="189"/>
    </row>
    <row r="34" spans="1:7">
      <c r="A34" s="189" t="s">
        <v>73</v>
      </c>
      <c r="B34" s="189"/>
      <c r="C34" s="189"/>
      <c r="D34" s="189"/>
      <c r="E34" s="189"/>
      <c r="F34" s="33"/>
      <c r="G34" s="189"/>
    </row>
    <row r="35" spans="1:7">
      <c r="A35" s="189" t="s">
        <v>103</v>
      </c>
    </row>
  </sheetData>
  <mergeCells count="16">
    <mergeCell ref="A7:H7"/>
    <mergeCell ref="A1:G1"/>
    <mergeCell ref="A3:B3"/>
    <mergeCell ref="G4:H4"/>
    <mergeCell ref="A5:G5"/>
    <mergeCell ref="A6:B6"/>
    <mergeCell ref="A22:A26"/>
    <mergeCell ref="A27:E27"/>
    <mergeCell ref="A28:E28"/>
    <mergeCell ref="A31:G31"/>
    <mergeCell ref="A8:A16"/>
    <mergeCell ref="B16:E16"/>
    <mergeCell ref="A17:A19"/>
    <mergeCell ref="B19:E19"/>
    <mergeCell ref="A20:E20"/>
    <mergeCell ref="A21:H21"/>
  </mergeCells>
  <phoneticPr fontId="1" type="noConversion"/>
  <dataValidations count="2">
    <dataValidation type="list" allowBlank="1" showInputMessage="1" showErrorMessage="1" sqref="B17:B18">
      <formula1>"學生獎學金,學生獎助金"</formula1>
    </dataValidation>
    <dataValidation type="list" allowBlank="1" showInputMessage="1" showErrorMessage="1" sqref="B8:B15">
      <formula1>"講座鐘點費(內聘),講座鐘點費(外聘), 講座助理鐘點費,授課鐘點費,諮詢費,指導費,稿費,裁判費,印刷費,資料蒐集費,國內旅費,膳宿費,租車費,材料費,物品費,保險費,場地使用費,全民健康保險補充保費,設備使用費,工讀費,設備維護費,軟體設計費,軟體授權費,雜支(包含耗材)"</formula1>
    </dataValidation>
  </dataValidations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Footer>第 &amp;P 頁</oddFoot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view="pageBreakPreview" zoomScale="85" zoomScaleNormal="100" zoomScaleSheetLayoutView="85" workbookViewId="0">
      <pane xSplit="1" ySplit="7" topLeftCell="B10" activePane="bottomRight" state="frozen"/>
      <selection pane="topRight" activeCell="B1" sqref="B1"/>
      <selection pane="bottomLeft" activeCell="A8" sqref="A8"/>
      <selection pane="bottomRight" activeCell="G13" sqref="G13"/>
    </sheetView>
  </sheetViews>
  <sheetFormatPr defaultRowHeight="16.2"/>
  <cols>
    <col min="1" max="1" width="8" customWidth="1"/>
    <col min="2" max="2" width="20.44140625" customWidth="1"/>
    <col min="3" max="3" width="5.109375" customWidth="1"/>
    <col min="4" max="4" width="6.88671875" customWidth="1"/>
    <col min="5" max="5" width="9.33203125" customWidth="1"/>
    <col min="6" max="6" width="9.88671875" style="17" bestFit="1" customWidth="1"/>
    <col min="7" max="7" width="55.33203125" customWidth="1"/>
    <col min="8" max="8" width="6.109375" customWidth="1"/>
    <col min="9" max="9" width="15.88671875" customWidth="1"/>
    <col min="10" max="10" width="12.33203125" customWidth="1"/>
    <col min="11" max="11" width="24.44140625" customWidth="1"/>
  </cols>
  <sheetData>
    <row r="1" spans="1:8" ht="22.2">
      <c r="A1" s="332" t="s">
        <v>318</v>
      </c>
      <c r="B1" s="295"/>
      <c r="C1" s="295"/>
      <c r="D1" s="295"/>
      <c r="E1" s="295"/>
      <c r="F1" s="295"/>
      <c r="G1" s="295"/>
    </row>
    <row r="3" spans="1:8">
      <c r="A3" s="350" t="s">
        <v>421</v>
      </c>
      <c r="B3" s="351"/>
    </row>
    <row r="4" spans="1:8">
      <c r="A4" s="18" t="s">
        <v>422</v>
      </c>
      <c r="G4" s="347" t="s">
        <v>3</v>
      </c>
      <c r="H4" s="347"/>
    </row>
    <row r="5" spans="1:8" ht="16.8" thickBot="1">
      <c r="A5" s="353" t="s">
        <v>126</v>
      </c>
      <c r="B5" s="354"/>
      <c r="C5" s="354"/>
      <c r="D5" s="354"/>
      <c r="E5" s="354"/>
      <c r="F5" s="354"/>
      <c r="G5" s="354"/>
      <c r="H5" s="190"/>
    </row>
    <row r="6" spans="1:8" ht="31.5" customHeight="1">
      <c r="A6" s="334" t="s">
        <v>32</v>
      </c>
      <c r="B6" s="335"/>
      <c r="C6" s="188" t="s">
        <v>5</v>
      </c>
      <c r="D6" s="188" t="s">
        <v>6</v>
      </c>
      <c r="E6" s="95" t="s">
        <v>7</v>
      </c>
      <c r="F6" s="96" t="s">
        <v>8</v>
      </c>
      <c r="G6" s="97" t="s">
        <v>9</v>
      </c>
      <c r="H6" s="101" t="s">
        <v>102</v>
      </c>
    </row>
    <row r="7" spans="1:8" ht="24" customHeight="1">
      <c r="A7" s="346" t="s">
        <v>87</v>
      </c>
      <c r="B7" s="346"/>
      <c r="C7" s="346"/>
      <c r="D7" s="346"/>
      <c r="E7" s="346"/>
      <c r="F7" s="346"/>
      <c r="G7" s="346"/>
      <c r="H7" s="346"/>
    </row>
    <row r="8" spans="1:8" ht="74.400000000000006" customHeight="1">
      <c r="A8" s="336" t="s">
        <v>10</v>
      </c>
      <c r="B8" s="76" t="s">
        <v>197</v>
      </c>
      <c r="C8" s="75" t="s">
        <v>136</v>
      </c>
      <c r="D8" s="75">
        <v>8</v>
      </c>
      <c r="E8" s="194">
        <v>2</v>
      </c>
      <c r="F8" s="195">
        <f>D8*E8</f>
        <v>16</v>
      </c>
      <c r="G8" s="192" t="s">
        <v>423</v>
      </c>
      <c r="H8" s="98"/>
    </row>
    <row r="9" spans="1:8" ht="98.4" customHeight="1">
      <c r="A9" s="336"/>
      <c r="B9" s="76" t="s">
        <v>143</v>
      </c>
      <c r="C9" s="20" t="s">
        <v>140</v>
      </c>
      <c r="D9" s="20">
        <v>4</v>
      </c>
      <c r="E9" s="196">
        <v>0.16</v>
      </c>
      <c r="F9" s="195">
        <f t="shared" ref="F9:F12" si="0">D9*E9</f>
        <v>0.64</v>
      </c>
      <c r="G9" s="193" t="s">
        <v>424</v>
      </c>
      <c r="H9" s="93"/>
    </row>
    <row r="10" spans="1:8" ht="47.4" customHeight="1">
      <c r="A10" s="336"/>
      <c r="B10" s="76" t="s">
        <v>149</v>
      </c>
      <c r="C10" s="20" t="s">
        <v>361</v>
      </c>
      <c r="D10" s="20">
        <v>20</v>
      </c>
      <c r="E10" s="196">
        <v>4</v>
      </c>
      <c r="F10" s="195">
        <f t="shared" si="0"/>
        <v>80</v>
      </c>
      <c r="G10" s="193" t="s">
        <v>425</v>
      </c>
      <c r="H10" s="93"/>
    </row>
    <row r="11" spans="1:8" ht="54" customHeight="1">
      <c r="A11" s="336"/>
      <c r="B11" s="76" t="s">
        <v>154</v>
      </c>
      <c r="C11" s="20" t="s">
        <v>155</v>
      </c>
      <c r="D11" s="20">
        <v>1</v>
      </c>
      <c r="E11" s="196">
        <v>0.31</v>
      </c>
      <c r="F11" s="195">
        <f>D11*E11</f>
        <v>0.31</v>
      </c>
      <c r="G11" s="193" t="s">
        <v>484</v>
      </c>
      <c r="H11" s="93"/>
    </row>
    <row r="12" spans="1:8" ht="49.2" customHeight="1">
      <c r="A12" s="336"/>
      <c r="B12" s="76" t="s">
        <v>158</v>
      </c>
      <c r="C12" s="20" t="s">
        <v>155</v>
      </c>
      <c r="D12" s="20">
        <v>1</v>
      </c>
      <c r="E12" s="196">
        <v>3.05</v>
      </c>
      <c r="F12" s="195">
        <f t="shared" si="0"/>
        <v>3.05</v>
      </c>
      <c r="G12" s="193" t="s">
        <v>486</v>
      </c>
      <c r="H12" s="93"/>
    </row>
    <row r="13" spans="1:8" ht="24" customHeight="1">
      <c r="A13" s="337"/>
      <c r="B13" s="338" t="s">
        <v>88</v>
      </c>
      <c r="C13" s="339"/>
      <c r="D13" s="339"/>
      <c r="E13" s="340"/>
      <c r="F13" s="195">
        <f>SUM(F8:F12)</f>
        <v>100</v>
      </c>
      <c r="G13" s="81"/>
      <c r="H13" s="93"/>
    </row>
    <row r="14" spans="1:8" ht="24" customHeight="1">
      <c r="A14" s="344" t="s">
        <v>60</v>
      </c>
      <c r="B14" s="21"/>
      <c r="C14" s="19"/>
      <c r="D14" s="19"/>
      <c r="E14" s="46"/>
      <c r="F14" s="195"/>
      <c r="G14" s="89" t="s">
        <v>4</v>
      </c>
      <c r="H14" s="93"/>
    </row>
    <row r="15" spans="1:8" ht="24" customHeight="1">
      <c r="A15" s="345"/>
      <c r="B15" s="341" t="s">
        <v>88</v>
      </c>
      <c r="C15" s="342"/>
      <c r="D15" s="342"/>
      <c r="E15" s="343"/>
      <c r="F15" s="195"/>
      <c r="G15" s="92"/>
      <c r="H15" s="93"/>
    </row>
    <row r="16" spans="1:8" ht="24" customHeight="1">
      <c r="A16" s="333" t="s">
        <v>89</v>
      </c>
      <c r="B16" s="333"/>
      <c r="C16" s="333"/>
      <c r="D16" s="333"/>
      <c r="E16" s="333"/>
      <c r="F16" s="195">
        <f>SUM(F15,F13)</f>
        <v>100</v>
      </c>
      <c r="G16" s="90"/>
      <c r="H16" s="93"/>
    </row>
    <row r="17" spans="1:8" ht="24" customHeight="1">
      <c r="A17" s="357" t="s">
        <v>90</v>
      </c>
      <c r="B17" s="358"/>
      <c r="C17" s="358"/>
      <c r="D17" s="358"/>
      <c r="E17" s="358"/>
      <c r="F17" s="358"/>
      <c r="G17" s="358"/>
      <c r="H17" s="359"/>
    </row>
    <row r="18" spans="1:8" ht="47.4" customHeight="1">
      <c r="A18" s="355" t="s">
        <v>42</v>
      </c>
      <c r="B18" s="21" t="s">
        <v>362</v>
      </c>
      <c r="C18" s="20" t="s">
        <v>363</v>
      </c>
      <c r="D18" s="20">
        <v>1</v>
      </c>
      <c r="E18" s="45">
        <v>30</v>
      </c>
      <c r="F18" s="197">
        <f>D18*E18</f>
        <v>30</v>
      </c>
      <c r="G18" s="90" t="s">
        <v>464</v>
      </c>
      <c r="H18" s="93"/>
    </row>
    <row r="19" spans="1:8" ht="24" customHeight="1">
      <c r="A19" s="356"/>
      <c r="B19" s="21" t="s">
        <v>426</v>
      </c>
      <c r="C19" s="20" t="s">
        <v>363</v>
      </c>
      <c r="D19" s="20">
        <v>1</v>
      </c>
      <c r="E19" s="45">
        <v>10</v>
      </c>
      <c r="F19" s="197">
        <f>D19*E19</f>
        <v>10</v>
      </c>
      <c r="G19" s="90" t="s">
        <v>465</v>
      </c>
      <c r="H19" s="93"/>
    </row>
    <row r="20" spans="1:8" ht="24" customHeight="1">
      <c r="A20" s="356"/>
      <c r="B20" s="21"/>
      <c r="C20" s="20"/>
      <c r="D20" s="20"/>
      <c r="E20" s="45"/>
      <c r="F20" s="197"/>
      <c r="G20" s="90"/>
      <c r="H20" s="93"/>
    </row>
    <row r="21" spans="1:8" ht="24" customHeight="1">
      <c r="A21" s="333" t="s">
        <v>91</v>
      </c>
      <c r="B21" s="333"/>
      <c r="C21" s="333"/>
      <c r="D21" s="333"/>
      <c r="E21" s="333"/>
      <c r="F21" s="198">
        <f>SUM(F18:F20)</f>
        <v>40</v>
      </c>
      <c r="G21" s="90"/>
      <c r="H21" s="93"/>
    </row>
    <row r="22" spans="1:8" ht="24" customHeight="1" thickBot="1">
      <c r="A22" s="348" t="s">
        <v>367</v>
      </c>
      <c r="B22" s="349"/>
      <c r="C22" s="349"/>
      <c r="D22" s="349"/>
      <c r="E22" s="349"/>
      <c r="F22" s="199">
        <f>SUM(F16,F21)</f>
        <v>140</v>
      </c>
      <c r="G22" s="91"/>
      <c r="H22" s="100"/>
    </row>
    <row r="23" spans="1:8">
      <c r="A23" s="5" t="s">
        <v>473</v>
      </c>
    </row>
    <row r="24" spans="1:8" ht="61.8" customHeight="1"/>
    <row r="25" spans="1:8">
      <c r="A25" s="352" t="s">
        <v>70</v>
      </c>
      <c r="B25" s="352"/>
      <c r="C25" s="352"/>
      <c r="D25" s="352"/>
      <c r="E25" s="352"/>
      <c r="F25" s="352"/>
      <c r="G25" s="352"/>
    </row>
    <row r="26" spans="1:8">
      <c r="A26" s="189" t="s">
        <v>71</v>
      </c>
      <c r="B26" s="189"/>
      <c r="C26" s="189"/>
      <c r="D26" s="189"/>
      <c r="E26" s="189"/>
      <c r="F26" s="33"/>
      <c r="G26" s="189"/>
    </row>
    <row r="27" spans="1:8">
      <c r="A27" s="189" t="s">
        <v>72</v>
      </c>
      <c r="B27" s="189"/>
      <c r="C27" s="189"/>
      <c r="D27" s="189"/>
      <c r="E27" s="189"/>
      <c r="F27" s="33"/>
      <c r="G27" s="189"/>
    </row>
    <row r="28" spans="1:8">
      <c r="A28" s="189" t="s">
        <v>73</v>
      </c>
      <c r="B28" s="189"/>
      <c r="C28" s="189"/>
      <c r="D28" s="189"/>
      <c r="E28" s="189"/>
      <c r="F28" s="33"/>
      <c r="G28" s="189"/>
    </row>
    <row r="29" spans="1:8">
      <c r="A29" s="189" t="s">
        <v>103</v>
      </c>
    </row>
  </sheetData>
  <mergeCells count="16">
    <mergeCell ref="A7:H7"/>
    <mergeCell ref="A1:G1"/>
    <mergeCell ref="A3:B3"/>
    <mergeCell ref="G4:H4"/>
    <mergeCell ref="A5:G5"/>
    <mergeCell ref="A6:B6"/>
    <mergeCell ref="A18:A20"/>
    <mergeCell ref="A21:E21"/>
    <mergeCell ref="A22:E22"/>
    <mergeCell ref="A25:G25"/>
    <mergeCell ref="A8:A13"/>
    <mergeCell ref="B13:E13"/>
    <mergeCell ref="A14:A15"/>
    <mergeCell ref="B15:E15"/>
    <mergeCell ref="A16:E16"/>
    <mergeCell ref="A17:H17"/>
  </mergeCells>
  <phoneticPr fontId="1" type="noConversion"/>
  <dataValidations count="2">
    <dataValidation type="list" allowBlank="1" showInputMessage="1" showErrorMessage="1" sqref="B8:B12">
      <formula1>"講座鐘點費(內聘),講座鐘點費(外聘), 講座助理鐘點費,授課鐘點費,諮詢費,指導費,稿費,裁判費,印刷費,資料蒐集費,國內旅費,膳宿費,租車費,材料費,物品費,保險費,場地使用費,全民健康保險補充保費,設備使用費,工讀費,設備維護費,軟體設計費,軟體授權費,雜支(包含耗材)"</formula1>
    </dataValidation>
    <dataValidation type="list" allowBlank="1" showInputMessage="1" showErrorMessage="1" sqref="B14">
      <formula1>"學生獎學金,學生獎助金"</formula1>
    </dataValidation>
  </dataValidations>
  <pageMargins left="0.27559055118110237" right="0.19685039370078741" top="0.31496062992125984" bottom="0.23622047244094491" header="0.31496062992125984" footer="0.15748031496062992"/>
  <pageSetup paperSize="9" scale="81" fitToHeight="0" orientation="portrait" r:id="rId1"/>
  <headerFooter>
    <oddFooter>第 &amp;P 頁</oddFoot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view="pageBreakPreview" topLeftCell="A10" zoomScaleNormal="100" zoomScaleSheetLayoutView="100" workbookViewId="0">
      <selection activeCell="A29" sqref="A29"/>
    </sheetView>
  </sheetViews>
  <sheetFormatPr defaultRowHeight="16.2"/>
  <cols>
    <col min="1" max="1" width="8" customWidth="1"/>
    <col min="2" max="2" width="22.77734375" customWidth="1"/>
    <col min="3" max="5" width="9.33203125" customWidth="1"/>
    <col min="6" max="6" width="9.33203125" style="17" customWidth="1"/>
    <col min="7" max="7" width="47" customWidth="1"/>
    <col min="8" max="8" width="6.109375" customWidth="1"/>
    <col min="9" max="9" width="15.88671875" customWidth="1"/>
    <col min="10" max="10" width="12.33203125" customWidth="1"/>
    <col min="11" max="11" width="24.44140625" customWidth="1"/>
  </cols>
  <sheetData>
    <row r="1" spans="1:8" ht="22.2">
      <c r="A1" s="332" t="s">
        <v>319</v>
      </c>
      <c r="B1" s="295"/>
      <c r="C1" s="295"/>
      <c r="D1" s="295"/>
      <c r="E1" s="295"/>
      <c r="F1" s="295"/>
      <c r="G1" s="295"/>
    </row>
    <row r="3" spans="1:8">
      <c r="A3" s="350" t="s">
        <v>427</v>
      </c>
      <c r="B3" s="351"/>
    </row>
    <row r="4" spans="1:8">
      <c r="A4" s="18" t="s">
        <v>428</v>
      </c>
      <c r="G4" s="347" t="s">
        <v>3</v>
      </c>
      <c r="H4" s="347"/>
    </row>
    <row r="5" spans="1:8" ht="16.8" thickBot="1">
      <c r="A5" s="353" t="s">
        <v>128</v>
      </c>
      <c r="B5" s="354"/>
      <c r="C5" s="354"/>
      <c r="D5" s="354"/>
      <c r="E5" s="354"/>
      <c r="F5" s="354"/>
      <c r="G5" s="354"/>
      <c r="H5" s="190"/>
    </row>
    <row r="6" spans="1:8" ht="31.5" customHeight="1">
      <c r="A6" s="334" t="s">
        <v>32</v>
      </c>
      <c r="B6" s="335"/>
      <c r="C6" s="188" t="s">
        <v>5</v>
      </c>
      <c r="D6" s="188" t="s">
        <v>6</v>
      </c>
      <c r="E6" s="95" t="s">
        <v>7</v>
      </c>
      <c r="F6" s="96" t="s">
        <v>8</v>
      </c>
      <c r="G6" s="97" t="s">
        <v>9</v>
      </c>
      <c r="H6" s="99" t="s">
        <v>102</v>
      </c>
    </row>
    <row r="7" spans="1:8" ht="24" customHeight="1">
      <c r="A7" s="346" t="s">
        <v>87</v>
      </c>
      <c r="B7" s="346"/>
      <c r="C7" s="346"/>
      <c r="D7" s="346"/>
      <c r="E7" s="346"/>
      <c r="F7" s="346"/>
      <c r="G7" s="346"/>
      <c r="H7" s="346"/>
    </row>
    <row r="8" spans="1:8" ht="77.400000000000006" customHeight="1">
      <c r="A8" s="336" t="s">
        <v>10</v>
      </c>
      <c r="B8" s="76"/>
      <c r="C8" s="75"/>
      <c r="D8" s="75"/>
      <c r="E8" s="194"/>
      <c r="F8" s="195"/>
      <c r="G8" s="89"/>
      <c r="H8" s="98"/>
    </row>
    <row r="9" spans="1:8" ht="60" customHeight="1">
      <c r="A9" s="336"/>
      <c r="B9" s="76"/>
      <c r="C9" s="20"/>
      <c r="D9" s="20"/>
      <c r="E9" s="196"/>
      <c r="F9" s="195"/>
      <c r="G9" s="90"/>
      <c r="H9" s="93"/>
    </row>
    <row r="10" spans="1:8" ht="36.6" customHeight="1">
      <c r="A10" s="336"/>
      <c r="B10" s="76"/>
      <c r="C10" s="20"/>
      <c r="D10" s="20"/>
      <c r="E10" s="196"/>
      <c r="F10" s="195"/>
      <c r="G10" s="90"/>
      <c r="H10" s="93"/>
    </row>
    <row r="11" spans="1:8" ht="33" customHeight="1">
      <c r="A11" s="336"/>
      <c r="B11" s="76"/>
      <c r="C11" s="20"/>
      <c r="D11" s="20"/>
      <c r="E11" s="196"/>
      <c r="F11" s="195"/>
      <c r="G11" s="90"/>
      <c r="H11" s="93"/>
    </row>
    <row r="12" spans="1:8" ht="24" customHeight="1">
      <c r="A12" s="336"/>
      <c r="B12" s="76"/>
      <c r="C12" s="20"/>
      <c r="D12" s="20"/>
      <c r="E12" s="196"/>
      <c r="F12" s="195"/>
      <c r="G12" s="90"/>
      <c r="H12" s="93"/>
    </row>
    <row r="13" spans="1:8" ht="24" customHeight="1">
      <c r="A13" s="336"/>
      <c r="B13" s="76"/>
      <c r="C13" s="20"/>
      <c r="D13" s="20"/>
      <c r="E13" s="196"/>
      <c r="F13" s="195"/>
      <c r="G13" s="90"/>
      <c r="H13" s="93"/>
    </row>
    <row r="14" spans="1:8" ht="24" customHeight="1">
      <c r="A14" s="336"/>
      <c r="B14" s="76"/>
      <c r="C14" s="20"/>
      <c r="D14" s="20"/>
      <c r="E14" s="196"/>
      <c r="F14" s="195"/>
      <c r="G14" s="90"/>
      <c r="H14" s="93"/>
    </row>
    <row r="15" spans="1:8" ht="24" customHeight="1">
      <c r="A15" s="336"/>
      <c r="B15" s="76"/>
      <c r="C15" s="20"/>
      <c r="D15" s="20"/>
      <c r="E15" s="196"/>
      <c r="F15" s="195"/>
      <c r="G15" s="90"/>
      <c r="H15" s="93"/>
    </row>
    <row r="16" spans="1:8" ht="24" customHeight="1">
      <c r="A16" s="337"/>
      <c r="B16" s="338" t="s">
        <v>88</v>
      </c>
      <c r="C16" s="339"/>
      <c r="D16" s="339"/>
      <c r="E16" s="340"/>
      <c r="F16" s="198"/>
      <c r="G16" s="81"/>
      <c r="H16" s="93"/>
    </row>
    <row r="17" spans="1:8" ht="39.6" customHeight="1">
      <c r="A17" s="344" t="s">
        <v>60</v>
      </c>
      <c r="B17" s="21" t="s">
        <v>195</v>
      </c>
      <c r="C17" s="19" t="s">
        <v>140</v>
      </c>
      <c r="D17" s="19">
        <v>22</v>
      </c>
      <c r="E17" s="46">
        <v>10</v>
      </c>
      <c r="F17" s="195">
        <f>D17*E17</f>
        <v>220</v>
      </c>
      <c r="G17" s="89" t="s">
        <v>429</v>
      </c>
      <c r="H17" s="93"/>
    </row>
    <row r="18" spans="1:8" ht="24" customHeight="1">
      <c r="A18" s="345"/>
      <c r="B18" s="21"/>
      <c r="C18" s="79"/>
      <c r="D18" s="79"/>
      <c r="E18" s="80"/>
      <c r="F18" s="197"/>
      <c r="G18" s="90"/>
      <c r="H18" s="93"/>
    </row>
    <row r="19" spans="1:8" ht="24" customHeight="1">
      <c r="A19" s="345"/>
      <c r="B19" s="341" t="s">
        <v>88</v>
      </c>
      <c r="C19" s="342"/>
      <c r="D19" s="342"/>
      <c r="E19" s="343"/>
      <c r="F19" s="200">
        <f>SUM(F17:F18)</f>
        <v>220</v>
      </c>
      <c r="G19" s="92"/>
      <c r="H19" s="93"/>
    </row>
    <row r="20" spans="1:8" ht="24" customHeight="1">
      <c r="A20" s="333" t="s">
        <v>89</v>
      </c>
      <c r="B20" s="333"/>
      <c r="C20" s="333"/>
      <c r="D20" s="333"/>
      <c r="E20" s="333"/>
      <c r="F20" s="198">
        <f>SUM(F19,F16)</f>
        <v>220</v>
      </c>
      <c r="G20" s="90"/>
      <c r="H20" s="93"/>
    </row>
    <row r="21" spans="1:8" ht="24" customHeight="1">
      <c r="A21" s="357" t="s">
        <v>90</v>
      </c>
      <c r="B21" s="358"/>
      <c r="C21" s="358"/>
      <c r="D21" s="358"/>
      <c r="E21" s="358"/>
      <c r="F21" s="358"/>
      <c r="G21" s="358"/>
      <c r="H21" s="359"/>
    </row>
    <row r="22" spans="1:8" ht="24" customHeight="1">
      <c r="A22" s="360" t="s">
        <v>42</v>
      </c>
      <c r="B22" s="21" t="s">
        <v>4</v>
      </c>
      <c r="C22" s="20" t="s">
        <v>4</v>
      </c>
      <c r="D22" s="20"/>
      <c r="E22" s="45"/>
      <c r="F22" s="197"/>
      <c r="G22" s="90" t="s">
        <v>4</v>
      </c>
      <c r="H22" s="93"/>
    </row>
    <row r="23" spans="1:8" ht="24" customHeight="1">
      <c r="A23" s="360"/>
      <c r="B23" s="21"/>
      <c r="C23" s="20"/>
      <c r="D23" s="20"/>
      <c r="E23" s="45"/>
      <c r="F23" s="197"/>
      <c r="G23" s="90"/>
      <c r="H23" s="93"/>
    </row>
    <row r="24" spans="1:8" ht="24" customHeight="1">
      <c r="A24" s="360"/>
      <c r="B24" s="21"/>
      <c r="C24" s="20"/>
      <c r="D24" s="20"/>
      <c r="E24" s="45"/>
      <c r="F24" s="197"/>
      <c r="G24" s="90"/>
      <c r="H24" s="93"/>
    </row>
    <row r="25" spans="1:8" ht="24" customHeight="1">
      <c r="A25" s="360"/>
      <c r="B25" s="21"/>
      <c r="C25" s="20"/>
      <c r="D25" s="20"/>
      <c r="E25" s="45"/>
      <c r="F25" s="197"/>
      <c r="G25" s="90"/>
      <c r="H25" s="93"/>
    </row>
    <row r="26" spans="1:8" ht="24" customHeight="1">
      <c r="A26" s="360"/>
      <c r="B26" s="21" t="s">
        <v>4</v>
      </c>
      <c r="C26" s="20" t="s">
        <v>4</v>
      </c>
      <c r="D26" s="20"/>
      <c r="E26" s="45"/>
      <c r="F26" s="197"/>
      <c r="G26" s="90" t="s">
        <v>4</v>
      </c>
      <c r="H26" s="93"/>
    </row>
    <row r="27" spans="1:8" ht="24" customHeight="1">
      <c r="A27" s="333" t="s">
        <v>91</v>
      </c>
      <c r="B27" s="333"/>
      <c r="C27" s="333"/>
      <c r="D27" s="333"/>
      <c r="E27" s="333"/>
      <c r="F27" s="198">
        <f>SUM(F22:F26)</f>
        <v>0</v>
      </c>
      <c r="G27" s="90"/>
      <c r="H27" s="93"/>
    </row>
    <row r="28" spans="1:8" ht="24" customHeight="1" thickBot="1">
      <c r="A28" s="348" t="s">
        <v>127</v>
      </c>
      <c r="B28" s="349"/>
      <c r="C28" s="349"/>
      <c r="D28" s="349"/>
      <c r="E28" s="349"/>
      <c r="F28" s="199">
        <f>SUM(F20,F27)</f>
        <v>220</v>
      </c>
      <c r="G28" s="91"/>
      <c r="H28" s="100"/>
    </row>
    <row r="29" spans="1:8">
      <c r="A29" s="5" t="s">
        <v>473</v>
      </c>
    </row>
    <row r="30" spans="1:8" ht="49.8" customHeight="1"/>
    <row r="31" spans="1:8">
      <c r="A31" s="352" t="s">
        <v>70</v>
      </c>
      <c r="B31" s="352"/>
      <c r="C31" s="352"/>
      <c r="D31" s="352"/>
      <c r="E31" s="352"/>
      <c r="F31" s="352"/>
      <c r="G31" s="352"/>
    </row>
    <row r="32" spans="1:8">
      <c r="A32" s="189" t="s">
        <v>71</v>
      </c>
      <c r="B32" s="189"/>
      <c r="C32" s="189"/>
      <c r="D32" s="189"/>
      <c r="E32" s="189"/>
      <c r="F32" s="33"/>
      <c r="G32" s="189"/>
    </row>
    <row r="33" spans="1:7">
      <c r="A33" s="189" t="s">
        <v>72</v>
      </c>
      <c r="B33" s="189"/>
      <c r="C33" s="189"/>
      <c r="D33" s="189"/>
      <c r="E33" s="189"/>
      <c r="F33" s="33"/>
      <c r="G33" s="189"/>
    </row>
    <row r="34" spans="1:7">
      <c r="A34" s="189" t="s">
        <v>73</v>
      </c>
      <c r="B34" s="189"/>
      <c r="C34" s="189"/>
      <c r="D34" s="189"/>
      <c r="E34" s="189"/>
      <c r="F34" s="33"/>
      <c r="G34" s="189"/>
    </row>
    <row r="35" spans="1:7">
      <c r="A35" s="189" t="s">
        <v>103</v>
      </c>
    </row>
  </sheetData>
  <mergeCells count="16">
    <mergeCell ref="A7:H7"/>
    <mergeCell ref="A1:G1"/>
    <mergeCell ref="A3:B3"/>
    <mergeCell ref="G4:H4"/>
    <mergeCell ref="A5:G5"/>
    <mergeCell ref="A6:B6"/>
    <mergeCell ref="A22:A26"/>
    <mergeCell ref="A27:E27"/>
    <mergeCell ref="A28:E28"/>
    <mergeCell ref="A31:G31"/>
    <mergeCell ref="A8:A16"/>
    <mergeCell ref="B16:E16"/>
    <mergeCell ref="A17:A19"/>
    <mergeCell ref="B19:E19"/>
    <mergeCell ref="A20:E20"/>
    <mergeCell ref="A21:H21"/>
  </mergeCells>
  <phoneticPr fontId="1" type="noConversion"/>
  <dataValidations count="2">
    <dataValidation type="list" allowBlank="1" showInputMessage="1" showErrorMessage="1" sqref="B8:B15">
      <formula1>"講座鐘點費(內聘),講座鐘點費(外聘), 講座助理鐘點費,授課鐘點費,諮詢費,指導費,稿費,裁判費,印刷費,資料蒐集費,國內旅費,膳宿費,租車費,材料費,物品費,保險費,場地使用費,全民健康保險補充保費,設備使用費,工讀費,設備維護費,軟體設計費,軟體授權費,雜支(包含耗材)"</formula1>
    </dataValidation>
    <dataValidation type="list" allowBlank="1" showInputMessage="1" showErrorMessage="1" sqref="B17:B18">
      <formula1>"學生獎學金,學生獎助金"</formula1>
    </dataValidation>
  </dataValidations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Footer>第 &amp;P 頁</oddFoot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view="pageBreakPreview" zoomScale="90" zoomScaleNormal="100" zoomScaleSheetLayoutView="90" workbookViewId="0">
      <pane xSplit="1" ySplit="4" topLeftCell="B26" activePane="bottomRight" state="frozen"/>
      <selection pane="topRight" activeCell="B1" sqref="B1"/>
      <selection pane="bottomLeft" activeCell="A5" sqref="A5"/>
      <selection pane="bottomRight" activeCell="A35" sqref="A35:F35"/>
    </sheetView>
  </sheetViews>
  <sheetFormatPr defaultRowHeight="16.2"/>
  <cols>
    <col min="1" max="1" width="11.6640625" bestFit="1" customWidth="1"/>
    <col min="2" max="2" width="31.88671875" bestFit="1" customWidth="1"/>
    <col min="3" max="8" width="18.33203125" customWidth="1"/>
  </cols>
  <sheetData>
    <row r="1" spans="1:8" s="11" customFormat="1" ht="22.2">
      <c r="A1" s="393" t="s">
        <v>78</v>
      </c>
      <c r="B1" s="295"/>
      <c r="C1" s="295"/>
      <c r="D1" s="295"/>
      <c r="E1" s="295"/>
      <c r="F1" s="295"/>
      <c r="G1" s="295"/>
      <c r="H1" s="295"/>
    </row>
    <row r="2" spans="1:8" s="11" customFormat="1" ht="22.2">
      <c r="A2" s="12"/>
      <c r="B2" s="10"/>
      <c r="C2" s="10"/>
      <c r="D2" s="10"/>
      <c r="F2" s="4"/>
      <c r="H2" s="4" t="s">
        <v>3</v>
      </c>
    </row>
    <row r="3" spans="1:8">
      <c r="A3" s="399" t="s">
        <v>25</v>
      </c>
      <c r="B3" s="401" t="s">
        <v>14</v>
      </c>
      <c r="C3" s="379" t="s">
        <v>129</v>
      </c>
      <c r="D3" s="380"/>
      <c r="E3" s="381" t="s">
        <v>130</v>
      </c>
      <c r="F3" s="382"/>
      <c r="G3" s="394" t="s">
        <v>131</v>
      </c>
      <c r="H3" s="395"/>
    </row>
    <row r="4" spans="1:8">
      <c r="A4" s="400"/>
      <c r="B4" s="402"/>
      <c r="C4" s="8" t="s">
        <v>30</v>
      </c>
      <c r="D4" s="9" t="s">
        <v>28</v>
      </c>
      <c r="E4" s="8" t="s">
        <v>30</v>
      </c>
      <c r="F4" s="7" t="s">
        <v>28</v>
      </c>
      <c r="G4" s="14" t="s">
        <v>30</v>
      </c>
      <c r="H4" s="15" t="s">
        <v>28</v>
      </c>
    </row>
    <row r="5" spans="1:8">
      <c r="A5" s="384" t="s">
        <v>26</v>
      </c>
      <c r="B5" s="13" t="s">
        <v>44</v>
      </c>
      <c r="C5" s="62">
        <f>SUMIFS(各子計畫經費!$L:$L,各子計畫經費!$H:$H,'y-4子計畫經費項目總計'!$B5,各子計畫經費!$E:$E,"108")/1000</f>
        <v>20</v>
      </c>
      <c r="D5" s="388">
        <f>(C5+C6+C7+C8)/C31</f>
        <v>0.27468354430379749</v>
      </c>
      <c r="E5" s="62">
        <f>SUMIFS(各子計畫經費!$L:$L,各子計畫經費!$H:$H,'y-4子計畫經費項目總計'!$B5,各子計畫經費!$E:$E,"109")/1000</f>
        <v>20</v>
      </c>
      <c r="F5" s="388">
        <f>(E5+E6+E7+E8)/E31</f>
        <v>0.24393939393939393</v>
      </c>
      <c r="G5" s="58">
        <f>C5+E5</f>
        <v>40</v>
      </c>
      <c r="H5" s="398">
        <f>(G5+G6+G7+G8)/G31</f>
        <v>0.26068965517241377</v>
      </c>
    </row>
    <row r="6" spans="1:8">
      <c r="A6" s="384"/>
      <c r="B6" s="13" t="s">
        <v>43</v>
      </c>
      <c r="C6" s="62">
        <f>SUMIFS(各子計畫經費!$L:$L,各子計畫經費!$H:$H,'y-4子計畫經費項目總計'!$B6,各子計畫經費!$E:$E,"108")/1000</f>
        <v>124</v>
      </c>
      <c r="D6" s="388"/>
      <c r="E6" s="62">
        <f>SUMIFS(各子計畫經費!$L:$L,各子計畫經費!$H:$H,'y-4子計畫經費項目總計'!$B6,各子計畫經費!$E:$E,"109")/1000</f>
        <v>80</v>
      </c>
      <c r="F6" s="388"/>
      <c r="G6" s="58">
        <f>C6+E6</f>
        <v>204</v>
      </c>
      <c r="H6" s="398"/>
    </row>
    <row r="7" spans="1:8">
      <c r="A7" s="384"/>
      <c r="B7" s="13" t="s">
        <v>77</v>
      </c>
      <c r="C7" s="62">
        <f>SUMIFS(各子計畫經費!$L:$L,各子計畫經費!$H:$H,'y-4子計畫經費項目總計'!$B7,各子計畫經費!$E:$E,"108")/1000</f>
        <v>20</v>
      </c>
      <c r="D7" s="388"/>
      <c r="E7" s="62">
        <f>SUMIFS(各子計畫經費!$L:$L,各子計畫經費!$H:$H,'y-4子計畫經費項目總計'!$B7,各子計畫經費!$E:$E,"109")/1000</f>
        <v>20</v>
      </c>
      <c r="F7" s="388"/>
      <c r="G7" s="58">
        <f>C7+E7</f>
        <v>40</v>
      </c>
      <c r="H7" s="398"/>
    </row>
    <row r="8" spans="1:8">
      <c r="A8" s="385"/>
      <c r="B8" s="13" t="s">
        <v>15</v>
      </c>
      <c r="C8" s="62">
        <f>SUMIFS(各子計畫經費!$L:$L,各子計畫經費!$H:$H,'y-4子計畫經費項目總計'!$B8,各子計畫經費!$E:$E,"108")/1000</f>
        <v>53</v>
      </c>
      <c r="D8" s="388"/>
      <c r="E8" s="62">
        <f>SUMIFS(各子計畫經費!$L:$L,各子計畫經費!$H:$H,'y-4子計畫經費項目總計'!$B8,各子計畫經費!$E:$E,"109")/1000</f>
        <v>41</v>
      </c>
      <c r="F8" s="388"/>
      <c r="G8" s="58">
        <f>C8+E8</f>
        <v>94</v>
      </c>
      <c r="H8" s="398"/>
    </row>
    <row r="9" spans="1:8">
      <c r="A9" s="385"/>
      <c r="B9" s="13" t="s">
        <v>41</v>
      </c>
      <c r="C9" s="62">
        <f>SUMIFS(各子計畫經費!$L:$L,各子計畫經費!$H:$H,'y-4子計畫經費項目總計'!$B9,各子計畫經費!$E:$E,"108")/1000</f>
        <v>30</v>
      </c>
      <c r="D9" s="60">
        <f>C9/C31</f>
        <v>3.7974683544303799E-2</v>
      </c>
      <c r="E9" s="62">
        <f>SUMIFS(各子計畫經費!$L:$L,各子計畫經費!$H:$H,'y-4子計畫經費項目總計'!$B9,各子計畫經費!$E:$E,"109")/1000</f>
        <v>30</v>
      </c>
      <c r="F9" s="63">
        <f>E9/E31</f>
        <v>4.5454545454545456E-2</v>
      </c>
      <c r="G9" s="58">
        <f t="shared" ref="G9:G30" si="0">C9+E9</f>
        <v>60</v>
      </c>
      <c r="H9" s="65">
        <f>G9/G31</f>
        <v>4.1379310344827586E-2</v>
      </c>
    </row>
    <row r="10" spans="1:8">
      <c r="A10" s="385"/>
      <c r="B10" s="13" t="s">
        <v>40</v>
      </c>
      <c r="C10" s="62">
        <f>SUMIFS(各子計畫經費!$L:$L,各子計畫經費!$H:$H,'y-4子計畫經費項目總計'!$B10,各子計畫經費!$E:$E,"108")/1000</f>
        <v>0</v>
      </c>
      <c r="D10" s="60">
        <f>C10/C31</f>
        <v>0</v>
      </c>
      <c r="E10" s="62">
        <f>SUMIFS(各子計畫經費!$L:$L,各子計畫經費!$H:$H,'y-4子計畫經費項目總計'!$B10,各子計畫經費!$E:$E,"109")/1000</f>
        <v>0</v>
      </c>
      <c r="F10" s="63">
        <f>E10/E31</f>
        <v>0</v>
      </c>
      <c r="G10" s="58">
        <f>C10+E10</f>
        <v>0</v>
      </c>
      <c r="H10" s="65">
        <f>G10/G31</f>
        <v>0</v>
      </c>
    </row>
    <row r="11" spans="1:8">
      <c r="A11" s="385"/>
      <c r="B11" s="13" t="s">
        <v>34</v>
      </c>
      <c r="C11" s="62">
        <f>SUMIFS(各子計畫經費!$L:$L,各子計畫經費!$H:$H,'y-4子計畫經費項目總計'!$B11,各子計畫經費!$E:$E,"108")/1000</f>
        <v>0</v>
      </c>
      <c r="D11" s="60">
        <f>C11/C31</f>
        <v>0</v>
      </c>
      <c r="E11" s="62">
        <f>SUMIFS(各子計畫經費!$L:$L,各子計畫經費!$H:$H,'y-4子計畫經費項目總計'!$B11,各子計畫經費!$E:$E,"109")/1000</f>
        <v>0</v>
      </c>
      <c r="F11" s="63">
        <f>E11/E31</f>
        <v>0</v>
      </c>
      <c r="G11" s="58">
        <f t="shared" si="0"/>
        <v>0</v>
      </c>
      <c r="H11" s="65">
        <f>G11/G31</f>
        <v>0</v>
      </c>
    </row>
    <row r="12" spans="1:8">
      <c r="A12" s="385"/>
      <c r="B12" s="13" t="s">
        <v>35</v>
      </c>
      <c r="C12" s="62">
        <f>SUMIFS(各子計畫經費!$L:$L,各子計畫經費!$H:$H,'y-4子計畫經費項目總計'!$B12,各子計畫經費!$E:$E,"108")/1000</f>
        <v>0</v>
      </c>
      <c r="D12" s="60">
        <f>C12/C31</f>
        <v>0</v>
      </c>
      <c r="E12" s="62">
        <f>SUMIFS(各子計畫經費!$L:$L,各子計畫經費!$H:$H,'y-4子計畫經費項目總計'!$B12,各子計畫經費!$E:$E,"109")/1000</f>
        <v>0</v>
      </c>
      <c r="F12" s="63">
        <f>E12/E31</f>
        <v>0</v>
      </c>
      <c r="G12" s="58">
        <f t="shared" si="0"/>
        <v>0</v>
      </c>
      <c r="H12" s="65">
        <f>G12/G31</f>
        <v>0</v>
      </c>
    </row>
    <row r="13" spans="1:8">
      <c r="A13" s="385"/>
      <c r="B13" s="13" t="s">
        <v>17</v>
      </c>
      <c r="C13" s="62">
        <f>SUMIFS(各子計畫經費!$L:$L,各子計畫經費!$H:$H,'y-4子計畫經費項目總計'!$B13,各子計畫經費!$E:$E,"108")/1000</f>
        <v>6.7</v>
      </c>
      <c r="D13" s="60">
        <f>C13/C31</f>
        <v>8.4810126582278485E-3</v>
      </c>
      <c r="E13" s="62">
        <f>SUMIFS(各子計畫經費!$L:$L,各子計畫經費!$H:$H,'y-4子計畫經費項目總計'!$B13,各子計畫經費!$E:$E,"109")/1000</f>
        <v>4</v>
      </c>
      <c r="F13" s="63">
        <f>E13/E31</f>
        <v>6.0606060606060606E-3</v>
      </c>
      <c r="G13" s="58">
        <f t="shared" si="0"/>
        <v>10.7</v>
      </c>
      <c r="H13" s="65">
        <f>G13/G31</f>
        <v>7.3793103448275858E-3</v>
      </c>
    </row>
    <row r="14" spans="1:8">
      <c r="A14" s="385"/>
      <c r="B14" s="13" t="s">
        <v>18</v>
      </c>
      <c r="C14" s="62">
        <f>SUMIFS(各子計畫經費!$L:$L,各子計畫經費!$H:$H,'y-4子計畫經費項目總計'!$B14,各子計畫經費!$E:$E,"108")/1000</f>
        <v>3</v>
      </c>
      <c r="D14" s="60">
        <f>C14/C31</f>
        <v>3.7974683544303796E-3</v>
      </c>
      <c r="E14" s="62">
        <f>SUMIFS(各子計畫經費!$L:$L,各子計畫經費!$H:$H,'y-4子計畫經費項目總計'!$B14,各子計畫經費!$E:$E,"109")/1000</f>
        <v>3</v>
      </c>
      <c r="F14" s="63">
        <f>E14/E31</f>
        <v>4.5454545454545452E-3</v>
      </c>
      <c r="G14" s="58">
        <f t="shared" si="0"/>
        <v>6</v>
      </c>
      <c r="H14" s="65">
        <f>G14/G31</f>
        <v>4.1379310344827587E-3</v>
      </c>
    </row>
    <row r="15" spans="1:8">
      <c r="A15" s="385"/>
      <c r="B15" s="13" t="s">
        <v>79</v>
      </c>
      <c r="C15" s="62">
        <f>SUMIFS(各子計畫經費!$L:$L,各子計畫經費!$H:$H,'y-4子計畫經費項目總計'!$B15,各子計畫經費!$E:$E,"108")/1000</f>
        <v>27.28</v>
      </c>
      <c r="D15" s="60">
        <f>C15/C31</f>
        <v>3.4531645569620253E-2</v>
      </c>
      <c r="E15" s="62">
        <f>SUMIFS(各子計畫經費!$L:$L,各子計畫經費!$H:$H,'y-4子計畫經費項目總計'!$B15,各子計畫經費!$E:$E,"109")/1000</f>
        <v>26</v>
      </c>
      <c r="F15" s="63">
        <f>E15/E31</f>
        <v>3.9393939393939391E-2</v>
      </c>
      <c r="G15" s="58">
        <f t="shared" si="0"/>
        <v>53.28</v>
      </c>
      <c r="H15" s="65">
        <f>G15/G31</f>
        <v>3.6744827586206896E-2</v>
      </c>
    </row>
    <row r="16" spans="1:8">
      <c r="A16" s="385"/>
      <c r="B16" s="13" t="s">
        <v>19</v>
      </c>
      <c r="C16" s="62">
        <f>SUMIFS(各子計畫經費!$L:$L,各子計畫經費!$H:$H,'y-4子計畫經費項目總計'!$B16,各子計畫經費!$E:$E,"108")/1000</f>
        <v>26.48</v>
      </c>
      <c r="D16" s="60">
        <f>C16/C31</f>
        <v>3.3518987341772152E-2</v>
      </c>
      <c r="E16" s="62">
        <f>SUMIFS(各子計畫經費!$L:$L,各子計畫經費!$H:$H,'y-4子計畫經費項目總計'!$B16,各子計畫經費!$E:$E,"109")/1000</f>
        <v>24</v>
      </c>
      <c r="F16" s="63">
        <f>E16/E31</f>
        <v>3.6363636363636362E-2</v>
      </c>
      <c r="G16" s="58">
        <f t="shared" si="0"/>
        <v>50.480000000000004</v>
      </c>
      <c r="H16" s="65">
        <f>G16/G31</f>
        <v>3.481379310344828E-2</v>
      </c>
    </row>
    <row r="17" spans="1:8">
      <c r="A17" s="385"/>
      <c r="B17" s="13" t="s">
        <v>21</v>
      </c>
      <c r="C17" s="62">
        <f>SUMIFS(各子計畫經費!$L:$L,各子計畫經費!$H:$H,'y-4子計畫經費項目總計'!$B17,各子計畫經費!$E:$E,"108")/1000</f>
        <v>84</v>
      </c>
      <c r="D17" s="60">
        <f>C17/C31</f>
        <v>0.10632911392405063</v>
      </c>
      <c r="E17" s="62">
        <f>SUMIFS(各子計畫經費!$L:$L,各子計畫經費!$H:$H,'y-4子計畫經費項目總計'!$B17,各子計畫經費!$E:$E,"109")/1000</f>
        <v>72</v>
      </c>
      <c r="F17" s="63">
        <f>E17/E31</f>
        <v>0.10909090909090909</v>
      </c>
      <c r="G17" s="58">
        <f t="shared" si="0"/>
        <v>156</v>
      </c>
      <c r="H17" s="65">
        <f>G17/G31</f>
        <v>0.10758620689655173</v>
      </c>
    </row>
    <row r="18" spans="1:8">
      <c r="A18" s="385"/>
      <c r="B18" s="13" t="s">
        <v>22</v>
      </c>
      <c r="C18" s="62">
        <f>SUMIFS(各子計畫經費!$L:$L,各子計畫經費!$H:$H,'y-4子計畫經費項目總計'!$B18,各子計畫經費!$E:$E,"108")/1000</f>
        <v>89</v>
      </c>
      <c r="D18" s="60">
        <f>C18/C31</f>
        <v>0.11265822784810127</v>
      </c>
      <c r="E18" s="62">
        <f>SUMIFS(各子計畫經費!$L:$L,各子計畫經費!$H:$H,'y-4子計畫經費項目總計'!$B18,各子計畫經費!$E:$E,"109")/1000</f>
        <v>71</v>
      </c>
      <c r="F18" s="63">
        <f>E18/E31</f>
        <v>0.10757575757575757</v>
      </c>
      <c r="G18" s="58">
        <f t="shared" si="0"/>
        <v>160</v>
      </c>
      <c r="H18" s="65">
        <f>G18/G31</f>
        <v>0.1103448275862069</v>
      </c>
    </row>
    <row r="19" spans="1:8">
      <c r="A19" s="385"/>
      <c r="B19" s="13" t="s">
        <v>23</v>
      </c>
      <c r="C19" s="62">
        <f>SUMIFS(各子計畫經費!$L:$L,各子計畫經費!$H:$H,'y-4子計畫經費項目總計'!$B19,各子計畫經費!$E:$E,"108")/1000</f>
        <v>251.4</v>
      </c>
      <c r="D19" s="60">
        <f>C19/C31</f>
        <v>0.31822784810126581</v>
      </c>
      <c r="E19" s="62">
        <f>SUMIFS(各子計畫經費!$L:$L,各子計畫經費!$H:$H,'y-4子計畫經費項目總計'!$B19,各子計畫經費!$E:$E,"109")/1000</f>
        <v>0</v>
      </c>
      <c r="F19" s="63">
        <f>E19/E31</f>
        <v>0</v>
      </c>
      <c r="G19" s="58">
        <f t="shared" si="0"/>
        <v>251.4</v>
      </c>
      <c r="H19" s="65">
        <f>G19/G31</f>
        <v>0.17337931034482759</v>
      </c>
    </row>
    <row r="20" spans="1:8">
      <c r="A20" s="385"/>
      <c r="B20" s="13" t="s">
        <v>20</v>
      </c>
      <c r="C20" s="62">
        <f>SUMIFS(各子計畫經費!$L:$L,各子計畫經費!$H:$H,'y-4子計畫經費項目總計'!$B20,各子計畫經費!$E:$E,"108")/1000</f>
        <v>8.0500000000000007</v>
      </c>
      <c r="D20" s="60">
        <f>C20/C31</f>
        <v>1.0189873417721519E-2</v>
      </c>
      <c r="E20" s="62">
        <f>SUMIFS(各子計畫經費!$L:$L,各子計畫經費!$H:$H,'y-4子計畫經費項目總計'!$B20,各子計畫經費!$E:$E,"109")/1000</f>
        <v>5.8</v>
      </c>
      <c r="F20" s="63">
        <f>E20/E31</f>
        <v>8.7878787878787872E-3</v>
      </c>
      <c r="G20" s="58">
        <f t="shared" si="0"/>
        <v>13.850000000000001</v>
      </c>
      <c r="H20" s="65">
        <f>G20/G31</f>
        <v>9.5517241379310357E-3</v>
      </c>
    </row>
    <row r="21" spans="1:8">
      <c r="A21" s="385"/>
      <c r="B21" s="13" t="s">
        <v>36</v>
      </c>
      <c r="C21" s="62">
        <f>SUMIFS(各子計畫經費!$L:$L,各子計畫經費!$H:$H,'y-4子計畫經費項目總計'!$B21,各子計畫經費!$E:$E,"108")/1000</f>
        <v>15</v>
      </c>
      <c r="D21" s="60">
        <f>C21/C31</f>
        <v>1.8987341772151899E-2</v>
      </c>
      <c r="E21" s="62">
        <f>SUMIFS(各子計畫經費!$L:$L,各子計畫經費!$H:$H,'y-4子計畫經費項目總計'!$B21,各子計畫經費!$E:$E,"109")/1000</f>
        <v>15</v>
      </c>
      <c r="F21" s="63">
        <f>E21/E31</f>
        <v>2.2727272727272728E-2</v>
      </c>
      <c r="G21" s="58">
        <f t="shared" si="0"/>
        <v>30</v>
      </c>
      <c r="H21" s="65">
        <f>G21/G31</f>
        <v>2.0689655172413793E-2</v>
      </c>
    </row>
    <row r="22" spans="1:8">
      <c r="A22" s="385"/>
      <c r="B22" s="13" t="s">
        <v>100</v>
      </c>
      <c r="C22" s="62">
        <f>SUMIFS(各子計畫經費!$L:$L,各子計畫經費!$H:$H,'y-4子計畫經費項目總計'!$B22,各子計畫經費!$E:$E,"108")/1000</f>
        <v>0.6</v>
      </c>
      <c r="D22" s="60">
        <f>C22/C31</f>
        <v>7.5949367088607594E-4</v>
      </c>
      <c r="E22" s="62">
        <f>SUMIFS(各子計畫經費!$L:$L,各子計畫經費!$H:$H,'y-4子計畫經費項目總計'!$B22,各子計畫經費!$E:$E,"109")/1000</f>
        <v>0.6</v>
      </c>
      <c r="F22" s="63">
        <f>E22/E31</f>
        <v>9.0909090909090909E-4</v>
      </c>
      <c r="G22" s="58">
        <f t="shared" ref="G22" si="1">C22+E22</f>
        <v>1.2</v>
      </c>
      <c r="H22" s="65">
        <f>G22/G31</f>
        <v>8.275862068965517E-4</v>
      </c>
    </row>
    <row r="23" spans="1:8">
      <c r="A23" s="385"/>
      <c r="B23" s="13" t="s">
        <v>16</v>
      </c>
      <c r="C23" s="62">
        <f>SUMIFS(各子計畫經費!$L:$L,各子計畫經費!$H:$H,'y-4子計畫經費項目總計'!$B23,各子計畫經費!$E:$E,"108")/1000</f>
        <v>3.26</v>
      </c>
      <c r="D23" s="60">
        <f>C23/C31</f>
        <v>4.1265822784810127E-3</v>
      </c>
      <c r="E23" s="62">
        <f>SUMIFS(各子計畫經費!$L:$L,各子計畫經費!$H:$H,'y-4子計畫經費項目總計'!$B23,各子計畫經費!$E:$E,"109")/1000</f>
        <v>2.1800000000000002</v>
      </c>
      <c r="F23" s="63">
        <f>E23/E31</f>
        <v>3.3030303030303033E-3</v>
      </c>
      <c r="G23" s="58">
        <f t="shared" si="0"/>
        <v>5.4399999999999995</v>
      </c>
      <c r="H23" s="65">
        <f>G23/G31</f>
        <v>3.7517241379310343E-3</v>
      </c>
    </row>
    <row r="24" spans="1:8">
      <c r="A24" s="385"/>
      <c r="B24" s="13" t="s">
        <v>37</v>
      </c>
      <c r="C24" s="62">
        <f>SUMIFS(各子計畫經費!$L:$L,各子計畫經費!$H:$H,'y-4子計畫經費項目總計'!$B24,各子計畫經費!$E:$E,"108")/1000</f>
        <v>0</v>
      </c>
      <c r="D24" s="60">
        <f>C24/C31</f>
        <v>0</v>
      </c>
      <c r="E24" s="62">
        <f>SUMIFS(各子計畫經費!$L:$L,各子計畫經費!$H:$H,'y-4子計畫經費項目總計'!$B24,各子計畫經費!$E:$E,"109")/1000</f>
        <v>0</v>
      </c>
      <c r="F24" s="63">
        <f>E24/E31</f>
        <v>0</v>
      </c>
      <c r="G24" s="58">
        <f t="shared" si="0"/>
        <v>0</v>
      </c>
      <c r="H24" s="65">
        <f>G24/G31</f>
        <v>0</v>
      </c>
    </row>
    <row r="25" spans="1:8">
      <c r="A25" s="385"/>
      <c r="B25" s="13" t="s">
        <v>24</v>
      </c>
      <c r="C25" s="62">
        <f>SUMIFS(各子計畫經費!$L:$L,各子計畫經費!$H:$H,'y-4子計畫經費項目總計'!$B25,各子計畫經費!$E:$E,"108")/1000</f>
        <v>5</v>
      </c>
      <c r="D25" s="60">
        <f>C25/C31</f>
        <v>6.3291139240506328E-3</v>
      </c>
      <c r="E25" s="62">
        <f>SUMIFS(各子計畫經費!$L:$L,各子計畫經費!$H:$H,'y-4子計畫經費項目總計'!$B25,各子計畫經費!$E:$E,"109")/1000</f>
        <v>5</v>
      </c>
      <c r="F25" s="63">
        <f>E25/E31</f>
        <v>7.575757575757576E-3</v>
      </c>
      <c r="G25" s="58">
        <f t="shared" si="0"/>
        <v>10</v>
      </c>
      <c r="H25" s="65">
        <f>G25/G31</f>
        <v>6.8965517241379309E-3</v>
      </c>
    </row>
    <row r="26" spans="1:8">
      <c r="A26" s="385"/>
      <c r="B26" s="13" t="s">
        <v>39</v>
      </c>
      <c r="C26" s="62">
        <f>SUMIFS(各子計畫經費!$L:$L,各子計畫經費!$H:$H,'y-4子計畫經費項目總計'!$B26,各子計畫經費!$E:$E,"108")/1000</f>
        <v>0</v>
      </c>
      <c r="D26" s="60">
        <f>C26/C31</f>
        <v>0</v>
      </c>
      <c r="E26" s="62">
        <f>SUMIFS(各子計畫經費!$L:$L,各子計畫經費!$H:$H,'y-4子計畫經費項目總計'!$B26,各子計畫經費!$E:$E,"109")/1000</f>
        <v>0</v>
      </c>
      <c r="F26" s="63">
        <f>E26/E31</f>
        <v>0</v>
      </c>
      <c r="G26" s="58">
        <f t="shared" si="0"/>
        <v>0</v>
      </c>
      <c r="H26" s="65">
        <f>G26/G31</f>
        <v>0</v>
      </c>
    </row>
    <row r="27" spans="1:8">
      <c r="A27" s="385"/>
      <c r="B27" s="13" t="s">
        <v>38</v>
      </c>
      <c r="C27" s="62">
        <f>SUMIFS(各子計畫經費!$L:$L,各子計畫經費!$H:$H,'y-4子計畫經費項目總計'!$B27,各子計畫經費!$E:$E,"108")/1000</f>
        <v>0</v>
      </c>
      <c r="D27" s="60">
        <f>C27/C31</f>
        <v>0</v>
      </c>
      <c r="E27" s="62">
        <f>SUMIFS(各子計畫經費!$L:$L,各子計畫經費!$H:$H,'y-4子計畫經費項目總計'!$B27,各子計畫經費!$E:$E,"109")/1000</f>
        <v>0</v>
      </c>
      <c r="F27" s="63">
        <f>E27/E31</f>
        <v>0</v>
      </c>
      <c r="G27" s="58">
        <f t="shared" si="0"/>
        <v>0</v>
      </c>
      <c r="H27" s="65">
        <f>G27/G31</f>
        <v>0</v>
      </c>
    </row>
    <row r="28" spans="1:8">
      <c r="A28" s="385"/>
      <c r="B28" s="13" t="s">
        <v>101</v>
      </c>
      <c r="C28" s="62">
        <f>SUMIFS(各子計畫經費!$L:$L,各子計畫經費!$H:$H,'y-4子計畫經費項目總計'!$B28,各子計畫經費!$E:$E,"108")/1000</f>
        <v>23.23</v>
      </c>
      <c r="D28" s="60">
        <f>C28/C31</f>
        <v>2.940506329113924E-2</v>
      </c>
      <c r="E28" s="62">
        <f>SUMIFS(各子計畫經費!$L:$L,各子計畫經費!$H:$H,'y-4子計畫經費項目總計'!$B28,各子計畫經費!$E:$E,"109")/1000</f>
        <v>20.420000000000002</v>
      </c>
      <c r="F28" s="63">
        <f>E28/E31</f>
        <v>3.0939393939393944E-2</v>
      </c>
      <c r="G28" s="58">
        <f t="shared" si="0"/>
        <v>43.650000000000006</v>
      </c>
      <c r="H28" s="65">
        <f>G28/G31</f>
        <v>3.0103448275862074E-2</v>
      </c>
    </row>
    <row r="29" spans="1:8">
      <c r="A29" s="386" t="s">
        <v>13</v>
      </c>
      <c r="B29" s="13" t="s">
        <v>27</v>
      </c>
      <c r="C29" s="62">
        <f>SUMIFS(各子計畫經費!$L:$L,各子計畫經費!$H:$H,'y-4子計畫經費項目總計'!$B29,各子計畫經費!$E:$E,"108")/1000</f>
        <v>0</v>
      </c>
      <c r="D29" s="60">
        <f>C29/C31</f>
        <v>0</v>
      </c>
      <c r="E29" s="62">
        <f>SUMIFS(各子計畫經費!$L:$L,各子計畫經費!$H:$H,'y-4子計畫經費項目總計'!$B29,各子計畫經費!$E:$E,"109")/1000</f>
        <v>220</v>
      </c>
      <c r="F29" s="63">
        <f>E29/E31</f>
        <v>0.33333333333333331</v>
      </c>
      <c r="G29" s="58">
        <f t="shared" si="0"/>
        <v>220</v>
      </c>
      <c r="H29" s="65">
        <f>G29/G31</f>
        <v>0.15172413793103448</v>
      </c>
    </row>
    <row r="30" spans="1:8" ht="16.8" thickBot="1">
      <c r="A30" s="387"/>
      <c r="B30" s="16" t="s">
        <v>33</v>
      </c>
      <c r="C30" s="62">
        <f>SUMIFS(各子計畫經費!$L:$L,各子計畫經費!$H:$H,'y-4子計畫經費項目總計'!$B30,各子計畫經費!$E:$E,"108")/1000</f>
        <v>0</v>
      </c>
      <c r="D30" s="61">
        <f>C30/C31</f>
        <v>0</v>
      </c>
      <c r="E30" s="62">
        <f>SUMIFS(各子計畫經費!$L:$L,各子計畫經費!$H:$H,'y-4子計畫經費項目總計'!$B30,各子計畫經費!$E:$E,"109")/1000</f>
        <v>0</v>
      </c>
      <c r="F30" s="64">
        <f>E30/E31</f>
        <v>0</v>
      </c>
      <c r="G30" s="59">
        <f t="shared" si="0"/>
        <v>0</v>
      </c>
      <c r="H30" s="66">
        <f>G30/G31</f>
        <v>0</v>
      </c>
    </row>
    <row r="31" spans="1:8" ht="16.8" thickBot="1">
      <c r="A31" s="389" t="s">
        <v>29</v>
      </c>
      <c r="B31" s="390"/>
      <c r="C31" s="391">
        <f>SUM(C5:C30)</f>
        <v>790</v>
      </c>
      <c r="D31" s="392"/>
      <c r="E31" s="391">
        <f>SUM(E5:E30)</f>
        <v>660</v>
      </c>
      <c r="F31" s="403"/>
      <c r="G31" s="396">
        <f>C31+E31</f>
        <v>1450</v>
      </c>
      <c r="H31" s="397"/>
    </row>
    <row r="32" spans="1:8">
      <c r="A32" s="377" t="s">
        <v>31</v>
      </c>
      <c r="B32" s="377"/>
      <c r="C32" s="377"/>
      <c r="D32" s="377"/>
      <c r="E32" s="377"/>
      <c r="F32" s="377"/>
      <c r="G32" s="57"/>
    </row>
    <row r="33" spans="1:11">
      <c r="A33" s="377" t="s">
        <v>58</v>
      </c>
      <c r="B33" s="377"/>
      <c r="C33" s="377"/>
      <c r="D33" s="377"/>
      <c r="E33" s="377"/>
      <c r="F33" s="377"/>
      <c r="G33" s="378"/>
    </row>
    <row r="34" spans="1:11">
      <c r="A34" s="378" t="s">
        <v>59</v>
      </c>
      <c r="B34" s="378"/>
      <c r="C34" s="378"/>
      <c r="D34" s="378"/>
      <c r="E34" s="378"/>
      <c r="F34" s="378"/>
      <c r="G34" s="57"/>
    </row>
    <row r="35" spans="1:11">
      <c r="A35" s="383"/>
      <c r="B35" s="383"/>
      <c r="C35" s="383"/>
      <c r="D35" s="383"/>
      <c r="E35" s="383"/>
      <c r="F35" s="383"/>
      <c r="G35" s="6"/>
    </row>
    <row r="36" spans="1:11">
      <c r="A36" s="191"/>
      <c r="B36" s="191"/>
      <c r="C36" s="191"/>
      <c r="D36" s="191"/>
      <c r="E36" s="191"/>
      <c r="F36" s="191"/>
      <c r="G36" s="6"/>
    </row>
    <row r="37" spans="1:11" s="22" customFormat="1">
      <c r="A37" s="254" t="s">
        <v>445</v>
      </c>
      <c r="B37" s="254"/>
      <c r="C37" s="254"/>
      <c r="E37" s="255"/>
      <c r="F37" s="254"/>
      <c r="G37" s="255"/>
      <c r="I37" s="256"/>
      <c r="J37" s="256"/>
      <c r="K37" s="254"/>
    </row>
  </sheetData>
  <mergeCells count="19">
    <mergeCell ref="A1:H1"/>
    <mergeCell ref="G3:H3"/>
    <mergeCell ref="G31:H31"/>
    <mergeCell ref="H5:H8"/>
    <mergeCell ref="A3:A4"/>
    <mergeCell ref="B3:B4"/>
    <mergeCell ref="F5:F8"/>
    <mergeCell ref="E31:F31"/>
    <mergeCell ref="A32:F32"/>
    <mergeCell ref="A34:F34"/>
    <mergeCell ref="C3:D3"/>
    <mergeCell ref="E3:F3"/>
    <mergeCell ref="A35:F35"/>
    <mergeCell ref="A33:G33"/>
    <mergeCell ref="A5:A28"/>
    <mergeCell ref="A29:A30"/>
    <mergeCell ref="D5:D8"/>
    <mergeCell ref="A31:B31"/>
    <mergeCell ref="C31:D3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fitToWidth="0" orientation="landscape" r:id="rId1"/>
  <headerFooter>
    <oddFooter>第 &amp;P 頁</oddFoot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9"/>
  <sheetViews>
    <sheetView workbookViewId="0">
      <selection activeCell="A120" sqref="A120"/>
    </sheetView>
  </sheetViews>
  <sheetFormatPr defaultRowHeight="16.2"/>
  <cols>
    <col min="1" max="1" width="9.44140625" bestFit="1" customWidth="1"/>
    <col min="2" max="2" width="8.44140625" style="102" bestFit="1" customWidth="1"/>
    <col min="3" max="3" width="6.21875" style="102" bestFit="1" customWidth="1"/>
    <col min="4" max="4" width="10.44140625" style="102" bestFit="1" customWidth="1"/>
    <col min="5" max="5" width="6.21875" style="102" bestFit="1" customWidth="1"/>
    <col min="6" max="6" width="6.21875" style="102" customWidth="1"/>
    <col min="7" max="7" width="6.21875" style="102" bestFit="1" customWidth="1"/>
    <col min="8" max="8" width="25.109375" style="1" bestFit="1" customWidth="1"/>
    <col min="9" max="10" width="6.21875" style="1" bestFit="1" customWidth="1"/>
    <col min="11" max="11" width="9.21875" style="1" bestFit="1" customWidth="1"/>
    <col min="12" max="12" width="12.21875" style="122" bestFit="1" customWidth="1"/>
    <col min="13" max="13" width="123.6640625" customWidth="1"/>
  </cols>
  <sheetData>
    <row r="1" spans="1:13" s="104" customFormat="1">
      <c r="B1" s="111" t="s">
        <v>171</v>
      </c>
      <c r="C1" s="111" t="s">
        <v>161</v>
      </c>
      <c r="D1" s="111" t="s">
        <v>163</v>
      </c>
      <c r="E1" s="111" t="s">
        <v>164</v>
      </c>
      <c r="F1" s="111" t="s">
        <v>200</v>
      </c>
      <c r="G1" s="111" t="s">
        <v>162</v>
      </c>
      <c r="H1" s="111" t="s">
        <v>165</v>
      </c>
      <c r="I1" s="111" t="s">
        <v>166</v>
      </c>
      <c r="J1" s="111" t="s">
        <v>167</v>
      </c>
      <c r="K1" s="111" t="s">
        <v>168</v>
      </c>
      <c r="L1" s="112" t="s">
        <v>169</v>
      </c>
      <c r="M1" s="103" t="s">
        <v>176</v>
      </c>
    </row>
    <row r="2" spans="1:13">
      <c r="B2" s="113" t="s">
        <v>160</v>
      </c>
      <c r="C2" s="113">
        <v>2</v>
      </c>
      <c r="D2" s="113" t="s">
        <v>170</v>
      </c>
      <c r="E2" s="113">
        <v>108</v>
      </c>
      <c r="F2" s="113">
        <v>1</v>
      </c>
      <c r="G2" s="113" t="s">
        <v>173</v>
      </c>
      <c r="H2" s="114" t="s">
        <v>159</v>
      </c>
      <c r="I2" s="114" t="s">
        <v>136</v>
      </c>
      <c r="J2" s="114">
        <v>2</v>
      </c>
      <c r="K2" s="114">
        <v>2000</v>
      </c>
      <c r="L2" s="115">
        <f t="shared" ref="L2:L9" si="0">J2*K2</f>
        <v>4000</v>
      </c>
      <c r="M2" s="107" t="s">
        <v>278</v>
      </c>
    </row>
    <row r="3" spans="1:13">
      <c r="B3" s="113" t="s">
        <v>160</v>
      </c>
      <c r="C3" s="113">
        <v>4</v>
      </c>
      <c r="D3" s="113" t="s">
        <v>170</v>
      </c>
      <c r="E3" s="113">
        <v>108</v>
      </c>
      <c r="F3" s="113">
        <v>1</v>
      </c>
      <c r="G3" s="113" t="s">
        <v>135</v>
      </c>
      <c r="H3" s="114" t="s">
        <v>138</v>
      </c>
      <c r="I3" s="114" t="s">
        <v>136</v>
      </c>
      <c r="J3" s="114">
        <v>40</v>
      </c>
      <c r="K3" s="114">
        <v>550</v>
      </c>
      <c r="L3" s="115">
        <f t="shared" si="0"/>
        <v>22000</v>
      </c>
      <c r="M3" s="106" t="s">
        <v>279</v>
      </c>
    </row>
    <row r="4" spans="1:13">
      <c r="B4" s="113" t="s">
        <v>160</v>
      </c>
      <c r="C4" s="113">
        <v>13</v>
      </c>
      <c r="D4" s="113" t="s">
        <v>170</v>
      </c>
      <c r="E4" s="113">
        <v>108</v>
      </c>
      <c r="F4" s="113">
        <v>1</v>
      </c>
      <c r="G4" s="113" t="s">
        <v>135</v>
      </c>
      <c r="H4" s="114" t="s">
        <v>146</v>
      </c>
      <c r="I4" s="114" t="s">
        <v>147</v>
      </c>
      <c r="J4" s="114">
        <v>3</v>
      </c>
      <c r="K4" s="114">
        <v>12000</v>
      </c>
      <c r="L4" s="115">
        <f t="shared" si="0"/>
        <v>36000</v>
      </c>
      <c r="M4" s="106" t="s">
        <v>280</v>
      </c>
    </row>
    <row r="5" spans="1:13">
      <c r="B5" s="113" t="s">
        <v>160</v>
      </c>
      <c r="C5" s="113">
        <v>14</v>
      </c>
      <c r="D5" s="113" t="s">
        <v>170</v>
      </c>
      <c r="E5" s="113">
        <v>108</v>
      </c>
      <c r="F5" s="113">
        <v>1</v>
      </c>
      <c r="G5" s="113" t="s">
        <v>135</v>
      </c>
      <c r="H5" s="110" t="s">
        <v>148</v>
      </c>
      <c r="I5" s="114" t="s">
        <v>140</v>
      </c>
      <c r="J5" s="114">
        <v>40</v>
      </c>
      <c r="K5" s="114">
        <v>200</v>
      </c>
      <c r="L5" s="115">
        <f t="shared" si="0"/>
        <v>8000</v>
      </c>
      <c r="M5" s="106" t="s">
        <v>314</v>
      </c>
    </row>
    <row r="6" spans="1:13">
      <c r="B6" s="113" t="s">
        <v>160</v>
      </c>
      <c r="C6" s="113">
        <v>17</v>
      </c>
      <c r="D6" s="113" t="s">
        <v>170</v>
      </c>
      <c r="E6" s="113">
        <v>108</v>
      </c>
      <c r="F6" s="113">
        <v>1</v>
      </c>
      <c r="G6" s="113" t="s">
        <v>135</v>
      </c>
      <c r="H6" s="114" t="s">
        <v>151</v>
      </c>
      <c r="I6" s="114" t="s">
        <v>178</v>
      </c>
      <c r="J6" s="114">
        <v>1</v>
      </c>
      <c r="K6" s="114">
        <v>3000</v>
      </c>
      <c r="L6" s="115">
        <f t="shared" si="0"/>
        <v>3000</v>
      </c>
      <c r="M6" s="106" t="s">
        <v>281</v>
      </c>
    </row>
    <row r="7" spans="1:13">
      <c r="B7" s="113" t="s">
        <v>160</v>
      </c>
      <c r="C7" s="113">
        <v>18</v>
      </c>
      <c r="D7" s="113" t="s">
        <v>170</v>
      </c>
      <c r="E7" s="113">
        <v>108</v>
      </c>
      <c r="F7" s="113">
        <v>1</v>
      </c>
      <c r="G7" s="113" t="s">
        <v>135</v>
      </c>
      <c r="H7" s="114" t="s">
        <v>152</v>
      </c>
      <c r="I7" s="114" t="s">
        <v>153</v>
      </c>
      <c r="J7" s="114">
        <v>4</v>
      </c>
      <c r="K7" s="114">
        <v>150</v>
      </c>
      <c r="L7" s="115">
        <f t="shared" si="0"/>
        <v>600</v>
      </c>
      <c r="M7" s="106" t="s">
        <v>282</v>
      </c>
    </row>
    <row r="8" spans="1:13">
      <c r="A8" s="144">
        <f>SUM(L2:L8)</f>
        <v>74100</v>
      </c>
      <c r="B8" s="113" t="s">
        <v>160</v>
      </c>
      <c r="C8" s="113">
        <v>19</v>
      </c>
      <c r="D8" s="113" t="s">
        <v>170</v>
      </c>
      <c r="E8" s="113">
        <v>108</v>
      </c>
      <c r="F8" s="113">
        <v>1</v>
      </c>
      <c r="G8" s="113" t="s">
        <v>135</v>
      </c>
      <c r="H8" s="110" t="s">
        <v>154</v>
      </c>
      <c r="I8" s="114" t="s">
        <v>155</v>
      </c>
      <c r="J8" s="114">
        <v>1</v>
      </c>
      <c r="K8" s="114">
        <f>ROUND(SUM(L2:L3)*1.91%,-1)</f>
        <v>500</v>
      </c>
      <c r="L8" s="115">
        <f t="shared" si="0"/>
        <v>500</v>
      </c>
      <c r="M8" s="106" t="s">
        <v>283</v>
      </c>
    </row>
    <row r="9" spans="1:13">
      <c r="A9" s="144">
        <f>SUM(L2:L9)</f>
        <v>75900</v>
      </c>
      <c r="B9" s="113" t="s">
        <v>160</v>
      </c>
      <c r="C9" s="187">
        <v>16</v>
      </c>
      <c r="D9" s="113" t="s">
        <v>170</v>
      </c>
      <c r="E9" s="113">
        <v>108</v>
      </c>
      <c r="F9" s="113">
        <v>1</v>
      </c>
      <c r="G9" s="113" t="s">
        <v>45</v>
      </c>
      <c r="H9" s="110" t="s">
        <v>20</v>
      </c>
      <c r="I9" s="114" t="s">
        <v>243</v>
      </c>
      <c r="J9" s="114">
        <v>60</v>
      </c>
      <c r="K9" s="114">
        <v>30</v>
      </c>
      <c r="L9" s="115">
        <f t="shared" si="0"/>
        <v>1800</v>
      </c>
      <c r="M9" s="106" t="s">
        <v>284</v>
      </c>
    </row>
    <row r="10" spans="1:13">
      <c r="B10" s="116" t="s">
        <v>160</v>
      </c>
      <c r="C10" s="116">
        <v>4</v>
      </c>
      <c r="D10" s="116" t="s">
        <v>170</v>
      </c>
      <c r="E10" s="116">
        <v>109</v>
      </c>
      <c r="F10" s="116">
        <v>1</v>
      </c>
      <c r="G10" s="116" t="s">
        <v>174</v>
      </c>
      <c r="H10" s="117" t="s">
        <v>138</v>
      </c>
      <c r="I10" s="117" t="s">
        <v>136</v>
      </c>
      <c r="J10" s="117">
        <v>40</v>
      </c>
      <c r="K10" s="117">
        <v>550</v>
      </c>
      <c r="L10" s="118">
        <f t="shared" ref="L10:L17" si="1">J10*K10</f>
        <v>22000</v>
      </c>
      <c r="M10" s="105" t="s">
        <v>279</v>
      </c>
    </row>
    <row r="11" spans="1:13">
      <c r="B11" s="116" t="s">
        <v>160</v>
      </c>
      <c r="C11" s="116">
        <v>13</v>
      </c>
      <c r="D11" s="116" t="s">
        <v>170</v>
      </c>
      <c r="E11" s="116">
        <v>109</v>
      </c>
      <c r="F11" s="116">
        <v>1</v>
      </c>
      <c r="G11" s="116" t="s">
        <v>174</v>
      </c>
      <c r="H11" s="117" t="s">
        <v>146</v>
      </c>
      <c r="I11" s="117" t="s">
        <v>147</v>
      </c>
      <c r="J11" s="117">
        <v>3</v>
      </c>
      <c r="K11" s="117">
        <v>12000</v>
      </c>
      <c r="L11" s="118">
        <f t="shared" si="1"/>
        <v>36000</v>
      </c>
      <c r="M11" s="105" t="s">
        <v>280</v>
      </c>
    </row>
    <row r="12" spans="1:13">
      <c r="B12" s="116" t="s">
        <v>160</v>
      </c>
      <c r="C12" s="116">
        <v>14</v>
      </c>
      <c r="D12" s="116" t="s">
        <v>170</v>
      </c>
      <c r="E12" s="116">
        <v>109</v>
      </c>
      <c r="F12" s="116">
        <v>1</v>
      </c>
      <c r="G12" s="116" t="s">
        <v>174</v>
      </c>
      <c r="H12" s="110" t="s">
        <v>148</v>
      </c>
      <c r="I12" s="117" t="s">
        <v>140</v>
      </c>
      <c r="J12" s="117">
        <v>40</v>
      </c>
      <c r="K12" s="117">
        <v>200</v>
      </c>
      <c r="L12" s="118">
        <f t="shared" si="1"/>
        <v>8000</v>
      </c>
      <c r="M12" s="105" t="s">
        <v>315</v>
      </c>
    </row>
    <row r="13" spans="1:13">
      <c r="B13" s="116" t="s">
        <v>160</v>
      </c>
      <c r="C13" s="116">
        <v>17</v>
      </c>
      <c r="D13" s="116" t="s">
        <v>170</v>
      </c>
      <c r="E13" s="116">
        <v>109</v>
      </c>
      <c r="F13" s="116">
        <v>1</v>
      </c>
      <c r="G13" s="116" t="s">
        <v>174</v>
      </c>
      <c r="H13" s="117" t="s">
        <v>151</v>
      </c>
      <c r="I13" s="117" t="s">
        <v>178</v>
      </c>
      <c r="J13" s="117">
        <v>1</v>
      </c>
      <c r="K13" s="117">
        <v>3000</v>
      </c>
      <c r="L13" s="118">
        <f t="shared" si="1"/>
        <v>3000</v>
      </c>
      <c r="M13" s="105" t="s">
        <v>281</v>
      </c>
    </row>
    <row r="14" spans="1:13">
      <c r="B14" s="116" t="s">
        <v>160</v>
      </c>
      <c r="C14" s="116">
        <v>18</v>
      </c>
      <c r="D14" s="116" t="s">
        <v>170</v>
      </c>
      <c r="E14" s="116">
        <v>109</v>
      </c>
      <c r="F14" s="116">
        <v>1</v>
      </c>
      <c r="G14" s="116" t="s">
        <v>174</v>
      </c>
      <c r="H14" s="117" t="s">
        <v>152</v>
      </c>
      <c r="I14" s="117" t="s">
        <v>153</v>
      </c>
      <c r="J14" s="117">
        <v>4</v>
      </c>
      <c r="K14" s="117">
        <v>150</v>
      </c>
      <c r="L14" s="118">
        <f t="shared" si="1"/>
        <v>600</v>
      </c>
      <c r="M14" s="105" t="s">
        <v>282</v>
      </c>
    </row>
    <row r="15" spans="1:13">
      <c r="A15" s="144">
        <f>SUM(L10:L15)</f>
        <v>70020</v>
      </c>
      <c r="B15" s="116" t="s">
        <v>160</v>
      </c>
      <c r="C15" s="116">
        <v>19</v>
      </c>
      <c r="D15" s="116" t="s">
        <v>170</v>
      </c>
      <c r="E15" s="116">
        <v>109</v>
      </c>
      <c r="F15" s="116">
        <v>1</v>
      </c>
      <c r="G15" s="116" t="s">
        <v>174</v>
      </c>
      <c r="H15" s="110" t="s">
        <v>154</v>
      </c>
      <c r="I15" s="117" t="s">
        <v>155</v>
      </c>
      <c r="J15" s="117">
        <v>1</v>
      </c>
      <c r="K15" s="117">
        <f>ROUND(SUM(L10:L10)*1.91%,-1)</f>
        <v>420</v>
      </c>
      <c r="L15" s="118">
        <f t="shared" si="1"/>
        <v>420</v>
      </c>
      <c r="M15" s="105" t="s">
        <v>175</v>
      </c>
    </row>
    <row r="16" spans="1:13">
      <c r="A16" s="144"/>
      <c r="B16" s="113" t="s">
        <v>160</v>
      </c>
      <c r="C16" s="187">
        <v>16</v>
      </c>
      <c r="D16" s="113" t="s">
        <v>170</v>
      </c>
      <c r="E16" s="113">
        <v>109</v>
      </c>
      <c r="F16" s="113">
        <v>1</v>
      </c>
      <c r="G16" s="113" t="s">
        <v>45</v>
      </c>
      <c r="H16" s="110" t="s">
        <v>20</v>
      </c>
      <c r="I16" s="114" t="s">
        <v>243</v>
      </c>
      <c r="J16" s="117">
        <v>60</v>
      </c>
      <c r="K16" s="117">
        <v>30</v>
      </c>
      <c r="L16" s="118">
        <f t="shared" si="1"/>
        <v>1800</v>
      </c>
      <c r="M16" s="105"/>
    </row>
    <row r="17" spans="1:13">
      <c r="A17" s="144">
        <f>SUM(L10:L17)</f>
        <v>75000</v>
      </c>
      <c r="B17" s="116" t="s">
        <v>160</v>
      </c>
      <c r="C17" s="116">
        <v>19</v>
      </c>
      <c r="D17" s="116" t="s">
        <v>170</v>
      </c>
      <c r="E17" s="116">
        <v>109</v>
      </c>
      <c r="F17" s="116">
        <v>1</v>
      </c>
      <c r="G17" s="116" t="s">
        <v>45</v>
      </c>
      <c r="H17" s="110" t="s">
        <v>232</v>
      </c>
      <c r="I17" s="117" t="s">
        <v>233</v>
      </c>
      <c r="J17" s="117">
        <v>1</v>
      </c>
      <c r="K17" s="117">
        <v>3180</v>
      </c>
      <c r="L17" s="118">
        <f t="shared" si="1"/>
        <v>3180</v>
      </c>
      <c r="M17" s="106" t="s">
        <v>284</v>
      </c>
    </row>
    <row r="18" spans="1:13">
      <c r="B18" s="119" t="s">
        <v>160</v>
      </c>
      <c r="C18" s="119">
        <v>2</v>
      </c>
      <c r="D18" s="119" t="s">
        <v>180</v>
      </c>
      <c r="E18" s="119">
        <v>108</v>
      </c>
      <c r="F18" s="119">
        <v>1</v>
      </c>
      <c r="G18" s="119" t="s">
        <v>179</v>
      </c>
      <c r="H18" s="120" t="s">
        <v>159</v>
      </c>
      <c r="I18" s="120" t="s">
        <v>136</v>
      </c>
      <c r="J18" s="120">
        <v>8</v>
      </c>
      <c r="K18" s="120">
        <v>2000</v>
      </c>
      <c r="L18" s="121">
        <f>J18*K18</f>
        <v>16000</v>
      </c>
      <c r="M18" s="108" t="s">
        <v>285</v>
      </c>
    </row>
    <row r="19" spans="1:13">
      <c r="B19" s="119" t="s">
        <v>160</v>
      </c>
      <c r="C19" s="119">
        <v>11</v>
      </c>
      <c r="D19" s="119" t="s">
        <v>180</v>
      </c>
      <c r="E19" s="119">
        <v>108</v>
      </c>
      <c r="F19" s="119">
        <v>1</v>
      </c>
      <c r="G19" s="119" t="s">
        <v>179</v>
      </c>
      <c r="H19" s="120" t="s">
        <v>143</v>
      </c>
      <c r="I19" s="120" t="s">
        <v>140</v>
      </c>
      <c r="J19" s="120">
        <v>4</v>
      </c>
      <c r="K19" s="120">
        <v>160</v>
      </c>
      <c r="L19" s="121">
        <f t="shared" ref="L19:L22" si="2">J19*K19</f>
        <v>640</v>
      </c>
      <c r="M19" s="108" t="s">
        <v>286</v>
      </c>
    </row>
    <row r="20" spans="1:13">
      <c r="B20" s="119" t="s">
        <v>160</v>
      </c>
      <c r="C20" s="119">
        <v>15</v>
      </c>
      <c r="D20" s="119" t="s">
        <v>180</v>
      </c>
      <c r="E20" s="119">
        <v>108</v>
      </c>
      <c r="F20" s="119">
        <v>1</v>
      </c>
      <c r="G20" s="119" t="s">
        <v>179</v>
      </c>
      <c r="H20" s="120" t="s">
        <v>149</v>
      </c>
      <c r="I20" s="120" t="s">
        <v>181</v>
      </c>
      <c r="J20" s="120">
        <v>20</v>
      </c>
      <c r="K20" s="120">
        <v>4000</v>
      </c>
      <c r="L20" s="121">
        <f t="shared" si="2"/>
        <v>80000</v>
      </c>
      <c r="M20" s="108" t="s">
        <v>287</v>
      </c>
    </row>
    <row r="21" spans="1:13">
      <c r="B21" s="119" t="s">
        <v>160</v>
      </c>
      <c r="C21" s="119">
        <v>19</v>
      </c>
      <c r="D21" s="119" t="s">
        <v>180</v>
      </c>
      <c r="E21" s="119">
        <v>108</v>
      </c>
      <c r="F21" s="119">
        <v>1</v>
      </c>
      <c r="G21" s="119" t="s">
        <v>179</v>
      </c>
      <c r="H21" s="110" t="s">
        <v>154</v>
      </c>
      <c r="I21" s="120" t="s">
        <v>155</v>
      </c>
      <c r="J21" s="120">
        <v>1</v>
      </c>
      <c r="K21" s="120">
        <f>ROUND(SUM(L18:L18)*1.91%,-1)</f>
        <v>310</v>
      </c>
      <c r="L21" s="121">
        <f t="shared" si="2"/>
        <v>310</v>
      </c>
      <c r="M21" s="108" t="s">
        <v>175</v>
      </c>
    </row>
    <row r="22" spans="1:13">
      <c r="A22" s="144">
        <f>SUM(L18:L22)</f>
        <v>100000</v>
      </c>
      <c r="B22" s="119" t="s">
        <v>160</v>
      </c>
      <c r="C22" s="119">
        <v>24</v>
      </c>
      <c r="D22" s="119" t="s">
        <v>180</v>
      </c>
      <c r="E22" s="119">
        <v>108</v>
      </c>
      <c r="F22" s="119">
        <v>1</v>
      </c>
      <c r="G22" s="119" t="s">
        <v>179</v>
      </c>
      <c r="H22" s="120" t="s">
        <v>158</v>
      </c>
      <c r="I22" s="120" t="s">
        <v>155</v>
      </c>
      <c r="J22" s="120">
        <v>1</v>
      </c>
      <c r="K22" s="145">
        <v>3050</v>
      </c>
      <c r="L22" s="121">
        <f t="shared" si="2"/>
        <v>3050</v>
      </c>
      <c r="M22" s="108"/>
    </row>
    <row r="23" spans="1:13">
      <c r="B23" s="127" t="s">
        <v>182</v>
      </c>
      <c r="C23" s="127">
        <v>25</v>
      </c>
      <c r="D23" s="127" t="s">
        <v>196</v>
      </c>
      <c r="E23" s="127">
        <v>108</v>
      </c>
      <c r="F23" s="127">
        <v>2</v>
      </c>
      <c r="G23" s="127" t="s">
        <v>202</v>
      </c>
      <c r="H23" s="109" t="s">
        <v>195</v>
      </c>
      <c r="I23" s="109" t="s">
        <v>186</v>
      </c>
      <c r="J23" s="109">
        <v>0</v>
      </c>
      <c r="K23" s="109">
        <v>10000</v>
      </c>
      <c r="L23" s="128">
        <f>J23*K23</f>
        <v>0</v>
      </c>
      <c r="M23" s="93"/>
    </row>
    <row r="24" spans="1:13">
      <c r="B24" s="127" t="s">
        <v>182</v>
      </c>
      <c r="C24" s="127">
        <v>25</v>
      </c>
      <c r="D24" s="127" t="s">
        <v>196</v>
      </c>
      <c r="E24" s="127">
        <v>109</v>
      </c>
      <c r="F24" s="127">
        <v>2</v>
      </c>
      <c r="G24" s="127" t="s">
        <v>203</v>
      </c>
      <c r="H24" s="109" t="s">
        <v>195</v>
      </c>
      <c r="I24" s="109" t="s">
        <v>186</v>
      </c>
      <c r="J24" s="109">
        <v>22</v>
      </c>
      <c r="K24" s="109">
        <v>10000</v>
      </c>
      <c r="L24" s="128">
        <f t="shared" ref="L24" si="3">J24*K24</f>
        <v>220000</v>
      </c>
      <c r="M24" s="93" t="s">
        <v>288</v>
      </c>
    </row>
    <row r="25" spans="1:13">
      <c r="B25" s="123" t="s">
        <v>182</v>
      </c>
      <c r="C25" s="123">
        <v>15</v>
      </c>
      <c r="D25" s="123" t="s">
        <v>183</v>
      </c>
      <c r="E25" s="123">
        <v>108</v>
      </c>
      <c r="F25" s="123">
        <v>1</v>
      </c>
      <c r="G25" s="123" t="s">
        <v>173</v>
      </c>
      <c r="H25" s="124" t="s">
        <v>184</v>
      </c>
      <c r="I25" s="124" t="s">
        <v>187</v>
      </c>
      <c r="J25" s="124">
        <v>1</v>
      </c>
      <c r="K25" s="124">
        <v>5000</v>
      </c>
      <c r="L25" s="124">
        <f t="shared" ref="L25:L34" si="4">J25*K25</f>
        <v>5000</v>
      </c>
      <c r="M25" s="124" t="s">
        <v>289</v>
      </c>
    </row>
    <row r="26" spans="1:13">
      <c r="B26" s="123" t="s">
        <v>182</v>
      </c>
      <c r="C26" s="123">
        <v>15</v>
      </c>
      <c r="D26" s="123" t="s">
        <v>183</v>
      </c>
      <c r="E26" s="123">
        <v>108</v>
      </c>
      <c r="F26" s="123">
        <v>1</v>
      </c>
      <c r="G26" s="123" t="s">
        <v>173</v>
      </c>
      <c r="H26" s="124" t="s">
        <v>184</v>
      </c>
      <c r="I26" s="124" t="s">
        <v>187</v>
      </c>
      <c r="J26" s="124">
        <v>1</v>
      </c>
      <c r="K26" s="124">
        <v>2000</v>
      </c>
      <c r="L26" s="124">
        <f t="shared" si="4"/>
        <v>2000</v>
      </c>
      <c r="M26" s="124" t="s">
        <v>290</v>
      </c>
    </row>
    <row r="27" spans="1:13">
      <c r="B27" s="123" t="s">
        <v>182</v>
      </c>
      <c r="C27" s="123">
        <v>15</v>
      </c>
      <c r="D27" s="123" t="s">
        <v>183</v>
      </c>
      <c r="E27" s="123">
        <v>108</v>
      </c>
      <c r="F27" s="123">
        <v>1</v>
      </c>
      <c r="G27" s="123" t="s">
        <v>173</v>
      </c>
      <c r="H27" s="124" t="s">
        <v>184</v>
      </c>
      <c r="I27" s="124" t="s">
        <v>187</v>
      </c>
      <c r="J27" s="124">
        <v>6</v>
      </c>
      <c r="K27" s="124">
        <v>300</v>
      </c>
      <c r="L27" s="124">
        <f t="shared" si="4"/>
        <v>1800</v>
      </c>
      <c r="M27" s="124" t="s">
        <v>291</v>
      </c>
    </row>
    <row r="28" spans="1:13">
      <c r="B28" s="123" t="s">
        <v>182</v>
      </c>
      <c r="C28" s="123">
        <v>15</v>
      </c>
      <c r="D28" s="123" t="s">
        <v>183</v>
      </c>
      <c r="E28" s="123">
        <v>108</v>
      </c>
      <c r="F28" s="123">
        <v>1</v>
      </c>
      <c r="G28" s="123" t="s">
        <v>173</v>
      </c>
      <c r="H28" s="124" t="s">
        <v>184</v>
      </c>
      <c r="I28" s="124" t="s">
        <v>188</v>
      </c>
      <c r="J28" s="124">
        <v>6</v>
      </c>
      <c r="K28" s="124">
        <v>1000</v>
      </c>
      <c r="L28" s="124">
        <f t="shared" si="4"/>
        <v>6000</v>
      </c>
      <c r="M28" s="124" t="s">
        <v>292</v>
      </c>
    </row>
    <row r="29" spans="1:13">
      <c r="B29" s="123" t="s">
        <v>182</v>
      </c>
      <c r="C29" s="123">
        <v>15</v>
      </c>
      <c r="D29" s="123" t="s">
        <v>183</v>
      </c>
      <c r="E29" s="123">
        <v>108</v>
      </c>
      <c r="F29" s="123">
        <v>1</v>
      </c>
      <c r="G29" s="123" t="s">
        <v>173</v>
      </c>
      <c r="H29" s="124" t="s">
        <v>184</v>
      </c>
      <c r="I29" s="124" t="s">
        <v>189</v>
      </c>
      <c r="J29" s="124">
        <v>6</v>
      </c>
      <c r="K29" s="124">
        <v>500</v>
      </c>
      <c r="L29" s="124">
        <f t="shared" si="4"/>
        <v>3000</v>
      </c>
      <c r="M29" s="124" t="s">
        <v>293</v>
      </c>
    </row>
    <row r="30" spans="1:13">
      <c r="B30" s="123" t="s">
        <v>182</v>
      </c>
      <c r="C30" s="123">
        <v>15</v>
      </c>
      <c r="D30" s="123" t="s">
        <v>183</v>
      </c>
      <c r="E30" s="123">
        <v>108</v>
      </c>
      <c r="F30" s="123">
        <v>1</v>
      </c>
      <c r="G30" s="123" t="s">
        <v>173</v>
      </c>
      <c r="H30" s="124" t="s">
        <v>184</v>
      </c>
      <c r="I30" s="124" t="s">
        <v>188</v>
      </c>
      <c r="J30" s="124">
        <v>6</v>
      </c>
      <c r="K30" s="124">
        <v>300</v>
      </c>
      <c r="L30" s="124">
        <f t="shared" si="4"/>
        <v>1800</v>
      </c>
      <c r="M30" s="124" t="s">
        <v>294</v>
      </c>
    </row>
    <row r="31" spans="1:13">
      <c r="B31" s="123" t="s">
        <v>182</v>
      </c>
      <c r="C31" s="123">
        <v>15</v>
      </c>
      <c r="D31" s="123" t="s">
        <v>183</v>
      </c>
      <c r="E31" s="123">
        <v>108</v>
      </c>
      <c r="F31" s="123">
        <v>1</v>
      </c>
      <c r="G31" s="123" t="s">
        <v>173</v>
      </c>
      <c r="H31" s="124" t="s">
        <v>184</v>
      </c>
      <c r="I31" s="124" t="s">
        <v>187</v>
      </c>
      <c r="J31" s="124">
        <v>6</v>
      </c>
      <c r="K31" s="124">
        <v>300</v>
      </c>
      <c r="L31" s="124">
        <f t="shared" si="4"/>
        <v>1800</v>
      </c>
      <c r="M31" s="124" t="s">
        <v>295</v>
      </c>
    </row>
    <row r="32" spans="1:13" ht="32.4">
      <c r="B32" s="123" t="s">
        <v>182</v>
      </c>
      <c r="C32" s="123">
        <v>15</v>
      </c>
      <c r="D32" s="123" t="s">
        <v>183</v>
      </c>
      <c r="E32" s="123">
        <v>108</v>
      </c>
      <c r="F32" s="123">
        <v>1</v>
      </c>
      <c r="G32" s="123" t="s">
        <v>173</v>
      </c>
      <c r="H32" s="110" t="s">
        <v>185</v>
      </c>
      <c r="I32" s="124" t="s">
        <v>186</v>
      </c>
      <c r="J32" s="124">
        <v>80</v>
      </c>
      <c r="K32" s="124">
        <v>200</v>
      </c>
      <c r="L32" s="124">
        <f t="shared" si="4"/>
        <v>16000</v>
      </c>
      <c r="M32" s="125" t="s">
        <v>313</v>
      </c>
    </row>
    <row r="33" spans="1:13">
      <c r="A33">
        <f>SUM(L26:L33)</f>
        <v>42400</v>
      </c>
      <c r="B33" s="123" t="s">
        <v>160</v>
      </c>
      <c r="C33" s="123">
        <v>15</v>
      </c>
      <c r="D33" s="123" t="s">
        <v>183</v>
      </c>
      <c r="E33" s="123">
        <v>108</v>
      </c>
      <c r="F33" s="123">
        <v>1</v>
      </c>
      <c r="G33" s="123" t="s">
        <v>45</v>
      </c>
      <c r="H33" s="110" t="s">
        <v>22</v>
      </c>
      <c r="I33" s="124" t="s">
        <v>186</v>
      </c>
      <c r="J33" s="124">
        <v>50</v>
      </c>
      <c r="K33" s="124">
        <v>200</v>
      </c>
      <c r="L33" s="124">
        <f t="shared" ref="L33" si="5">J33*K33</f>
        <v>10000</v>
      </c>
      <c r="M33" s="125" t="s">
        <v>296</v>
      </c>
    </row>
    <row r="34" spans="1:13">
      <c r="A34">
        <f>SUM(L25:L34)</f>
        <v>51100</v>
      </c>
      <c r="B34" s="123" t="s">
        <v>160</v>
      </c>
      <c r="C34" s="123">
        <v>15</v>
      </c>
      <c r="D34" s="123" t="s">
        <v>183</v>
      </c>
      <c r="E34" s="123">
        <v>108</v>
      </c>
      <c r="F34" s="123">
        <v>1</v>
      </c>
      <c r="G34" s="123" t="s">
        <v>45</v>
      </c>
      <c r="H34" s="124" t="s">
        <v>232</v>
      </c>
      <c r="I34" s="124" t="s">
        <v>233</v>
      </c>
      <c r="J34" s="124">
        <v>1</v>
      </c>
      <c r="K34" s="124">
        <f>4600-900</f>
        <v>3700</v>
      </c>
      <c r="L34" s="124">
        <f t="shared" si="4"/>
        <v>3700</v>
      </c>
      <c r="M34" s="125" t="s">
        <v>297</v>
      </c>
    </row>
    <row r="35" spans="1:13">
      <c r="B35" s="123" t="s">
        <v>160</v>
      </c>
      <c r="C35" s="123">
        <v>15</v>
      </c>
      <c r="D35" s="123" t="s">
        <v>183</v>
      </c>
      <c r="E35" s="126">
        <v>109</v>
      </c>
      <c r="F35" s="123">
        <v>1</v>
      </c>
      <c r="G35" s="123" t="s">
        <v>45</v>
      </c>
      <c r="H35" s="110" t="s">
        <v>22</v>
      </c>
      <c r="I35" s="124" t="s">
        <v>186</v>
      </c>
      <c r="J35" s="124">
        <v>50</v>
      </c>
      <c r="K35" s="124">
        <v>200</v>
      </c>
      <c r="L35" s="124">
        <f>J35*K35</f>
        <v>10000</v>
      </c>
      <c r="M35" s="125" t="s">
        <v>296</v>
      </c>
    </row>
    <row r="36" spans="1:13">
      <c r="A36">
        <f>SUM(L35:L36)</f>
        <v>13000</v>
      </c>
      <c r="B36" s="123" t="s">
        <v>160</v>
      </c>
      <c r="C36" s="123">
        <v>15</v>
      </c>
      <c r="D36" s="123" t="s">
        <v>183</v>
      </c>
      <c r="E36" s="126">
        <v>109</v>
      </c>
      <c r="F36" s="123">
        <v>1</v>
      </c>
      <c r="G36" s="123" t="s">
        <v>45</v>
      </c>
      <c r="H36" s="124" t="s">
        <v>101</v>
      </c>
      <c r="I36" s="124" t="s">
        <v>233</v>
      </c>
      <c r="J36" s="124">
        <v>1</v>
      </c>
      <c r="K36" s="124">
        <v>3000</v>
      </c>
      <c r="L36" s="124">
        <f t="shared" ref="L36" si="6">J36*K36</f>
        <v>3000</v>
      </c>
      <c r="M36" s="125" t="s">
        <v>297</v>
      </c>
    </row>
    <row r="37" spans="1:13" ht="32.4">
      <c r="B37" s="130" t="s">
        <v>160</v>
      </c>
      <c r="C37" s="130">
        <v>2</v>
      </c>
      <c r="D37" s="130" t="s">
        <v>199</v>
      </c>
      <c r="E37" s="130">
        <v>108</v>
      </c>
      <c r="F37" s="130">
        <v>1</v>
      </c>
      <c r="G37" s="130" t="s">
        <v>172</v>
      </c>
      <c r="H37" s="129" t="s">
        <v>197</v>
      </c>
      <c r="I37" s="129" t="s">
        <v>136</v>
      </c>
      <c r="J37" s="129">
        <v>12</v>
      </c>
      <c r="K37" s="129">
        <v>2000</v>
      </c>
      <c r="L37" s="129">
        <f>J37*K37</f>
        <v>24000</v>
      </c>
      <c r="M37" s="186" t="s">
        <v>299</v>
      </c>
    </row>
    <row r="38" spans="1:13">
      <c r="B38" s="130" t="s">
        <v>160</v>
      </c>
      <c r="C38" s="130">
        <v>4</v>
      </c>
      <c r="D38" s="130" t="s">
        <v>199</v>
      </c>
      <c r="E38" s="130">
        <v>108</v>
      </c>
      <c r="F38" s="130">
        <v>1</v>
      </c>
      <c r="G38" s="130" t="s">
        <v>172</v>
      </c>
      <c r="H38" s="129" t="s">
        <v>138</v>
      </c>
      <c r="I38" s="129" t="s">
        <v>136</v>
      </c>
      <c r="J38" s="129">
        <v>30</v>
      </c>
      <c r="K38" s="129">
        <v>400</v>
      </c>
      <c r="L38" s="129">
        <f t="shared" ref="L38:L63" si="7">J38*K38</f>
        <v>12000</v>
      </c>
      <c r="M38" s="129" t="s">
        <v>300</v>
      </c>
    </row>
    <row r="39" spans="1:13">
      <c r="B39" s="130" t="s">
        <v>160</v>
      </c>
      <c r="C39" s="130">
        <v>9</v>
      </c>
      <c r="D39" s="130" t="s">
        <v>199</v>
      </c>
      <c r="E39" s="130">
        <v>108</v>
      </c>
      <c r="F39" s="130">
        <v>1</v>
      </c>
      <c r="G39" s="130" t="s">
        <v>172</v>
      </c>
      <c r="H39" s="129" t="s">
        <v>141</v>
      </c>
      <c r="I39" s="129"/>
      <c r="J39" s="129">
        <v>30</v>
      </c>
      <c r="K39" s="129">
        <v>90</v>
      </c>
      <c r="L39" s="129">
        <f t="shared" si="7"/>
        <v>2700</v>
      </c>
      <c r="M39" s="129" t="s">
        <v>298</v>
      </c>
    </row>
    <row r="40" spans="1:13">
      <c r="B40" s="130" t="s">
        <v>160</v>
      </c>
      <c r="C40" s="130">
        <v>11</v>
      </c>
      <c r="D40" s="130" t="s">
        <v>199</v>
      </c>
      <c r="E40" s="130">
        <v>108</v>
      </c>
      <c r="F40" s="130">
        <v>1</v>
      </c>
      <c r="G40" s="130" t="s">
        <v>172</v>
      </c>
      <c r="H40" s="129" t="s">
        <v>143</v>
      </c>
      <c r="I40" s="129" t="s">
        <v>140</v>
      </c>
      <c r="J40" s="129">
        <v>2</v>
      </c>
      <c r="K40" s="129">
        <v>320</v>
      </c>
      <c r="L40" s="129">
        <f t="shared" si="7"/>
        <v>640</v>
      </c>
      <c r="M40" s="129" t="s">
        <v>301</v>
      </c>
    </row>
    <row r="41" spans="1:13">
      <c r="B41" s="130" t="s">
        <v>160</v>
      </c>
      <c r="C41" s="130">
        <v>12</v>
      </c>
      <c r="D41" s="130" t="s">
        <v>199</v>
      </c>
      <c r="E41" s="130">
        <v>108</v>
      </c>
      <c r="F41" s="130">
        <v>1</v>
      </c>
      <c r="G41" s="130" t="s">
        <v>172</v>
      </c>
      <c r="H41" s="129" t="s">
        <v>144</v>
      </c>
      <c r="I41" s="129" t="s">
        <v>145</v>
      </c>
      <c r="J41" s="129">
        <v>31</v>
      </c>
      <c r="K41" s="129">
        <v>80</v>
      </c>
      <c r="L41" s="129">
        <f t="shared" si="7"/>
        <v>2480</v>
      </c>
      <c r="M41" s="186" t="s">
        <v>302</v>
      </c>
    </row>
    <row r="42" spans="1:13">
      <c r="B42" s="130" t="s">
        <v>160</v>
      </c>
      <c r="C42" s="130">
        <v>13</v>
      </c>
      <c r="D42" s="130" t="s">
        <v>199</v>
      </c>
      <c r="E42" s="130">
        <v>108</v>
      </c>
      <c r="F42" s="130">
        <v>1</v>
      </c>
      <c r="G42" s="130" t="s">
        <v>172</v>
      </c>
      <c r="H42" s="129" t="s">
        <v>146</v>
      </c>
      <c r="I42" s="129" t="s">
        <v>147</v>
      </c>
      <c r="J42" s="129">
        <v>1</v>
      </c>
      <c r="K42" s="129">
        <v>12000</v>
      </c>
      <c r="L42" s="129">
        <f t="shared" si="7"/>
        <v>12000</v>
      </c>
      <c r="M42" s="129" t="s">
        <v>303</v>
      </c>
    </row>
    <row r="43" spans="1:13">
      <c r="B43" s="130" t="s">
        <v>160</v>
      </c>
      <c r="C43" s="130">
        <v>14</v>
      </c>
      <c r="D43" s="130" t="s">
        <v>199</v>
      </c>
      <c r="E43" s="130">
        <v>108</v>
      </c>
      <c r="F43" s="130">
        <v>1</v>
      </c>
      <c r="G43" s="130" t="s">
        <v>172</v>
      </c>
      <c r="H43" s="110" t="s">
        <v>148</v>
      </c>
      <c r="I43" s="129" t="s">
        <v>140</v>
      </c>
      <c r="J43" s="129">
        <v>30</v>
      </c>
      <c r="K43" s="129">
        <v>200</v>
      </c>
      <c r="L43" s="129">
        <f t="shared" si="7"/>
        <v>6000</v>
      </c>
      <c r="M43" s="129" t="s">
        <v>312</v>
      </c>
    </row>
    <row r="44" spans="1:13">
      <c r="B44" s="130" t="s">
        <v>160</v>
      </c>
      <c r="C44" s="130">
        <v>16</v>
      </c>
      <c r="D44" s="130" t="s">
        <v>199</v>
      </c>
      <c r="E44" s="130">
        <v>108</v>
      </c>
      <c r="F44" s="130">
        <v>1</v>
      </c>
      <c r="G44" s="130" t="s">
        <v>172</v>
      </c>
      <c r="H44" s="129" t="s">
        <v>150</v>
      </c>
      <c r="I44" s="129" t="s">
        <v>145</v>
      </c>
      <c r="J44" s="129">
        <v>75</v>
      </c>
      <c r="K44" s="129">
        <v>30</v>
      </c>
      <c r="L44" s="129">
        <f t="shared" si="7"/>
        <v>2250</v>
      </c>
      <c r="M44" s="129" t="s">
        <v>304</v>
      </c>
    </row>
    <row r="45" spans="1:13">
      <c r="B45" s="130" t="s">
        <v>160</v>
      </c>
      <c r="C45" s="130">
        <v>19</v>
      </c>
      <c r="D45" s="130" t="s">
        <v>199</v>
      </c>
      <c r="E45" s="130">
        <v>108</v>
      </c>
      <c r="F45" s="130">
        <v>1</v>
      </c>
      <c r="G45" s="130" t="s">
        <v>172</v>
      </c>
      <c r="H45" s="110" t="s">
        <v>154</v>
      </c>
      <c r="I45" s="129" t="s">
        <v>155</v>
      </c>
      <c r="J45" s="129">
        <v>1</v>
      </c>
      <c r="K45" s="129">
        <v>690</v>
      </c>
      <c r="L45" s="129">
        <f>J45*K45</f>
        <v>690</v>
      </c>
      <c r="M45" s="129" t="s">
        <v>198</v>
      </c>
    </row>
    <row r="46" spans="1:13">
      <c r="A46">
        <f>SUM(L37:L46)</f>
        <v>65000</v>
      </c>
      <c r="B46" s="130" t="s">
        <v>160</v>
      </c>
      <c r="C46" s="130">
        <v>24</v>
      </c>
      <c r="D46" s="130" t="s">
        <v>199</v>
      </c>
      <c r="E46" s="130">
        <v>108</v>
      </c>
      <c r="F46" s="130">
        <v>1</v>
      </c>
      <c r="G46" s="130" t="s">
        <v>172</v>
      </c>
      <c r="H46" s="129" t="s">
        <v>158</v>
      </c>
      <c r="I46" s="129" t="s">
        <v>155</v>
      </c>
      <c r="J46" s="129">
        <v>1</v>
      </c>
      <c r="K46" s="129">
        <v>2240</v>
      </c>
      <c r="L46" s="129">
        <f t="shared" si="7"/>
        <v>2240</v>
      </c>
      <c r="M46" s="129" t="s">
        <v>305</v>
      </c>
    </row>
    <row r="47" spans="1:13">
      <c r="B47" s="139" t="s">
        <v>160</v>
      </c>
      <c r="C47" s="139">
        <v>15</v>
      </c>
      <c r="D47" s="139" t="s">
        <v>255</v>
      </c>
      <c r="E47" s="139">
        <v>108</v>
      </c>
      <c r="F47" s="139">
        <v>1</v>
      </c>
      <c r="G47" s="139" t="s">
        <v>258</v>
      </c>
      <c r="H47" s="140" t="s">
        <v>257</v>
      </c>
      <c r="I47" s="140" t="s">
        <v>259</v>
      </c>
      <c r="J47" s="140">
        <v>6</v>
      </c>
      <c r="K47" s="140">
        <v>3000</v>
      </c>
      <c r="L47" s="140">
        <f t="shared" ref="L47:L56" si="8">J47*K47</f>
        <v>18000</v>
      </c>
      <c r="M47" s="140" t="s">
        <v>306</v>
      </c>
    </row>
    <row r="48" spans="1:13">
      <c r="B48" s="139" t="s">
        <v>160</v>
      </c>
      <c r="C48" s="139">
        <v>15</v>
      </c>
      <c r="D48" s="139" t="s">
        <v>255</v>
      </c>
      <c r="E48" s="139">
        <v>108</v>
      </c>
      <c r="F48" s="139">
        <v>1</v>
      </c>
      <c r="G48" s="139" t="s">
        <v>260</v>
      </c>
      <c r="H48" s="140" t="s">
        <v>257</v>
      </c>
      <c r="I48" s="140" t="s">
        <v>259</v>
      </c>
      <c r="J48" s="140">
        <v>1</v>
      </c>
      <c r="K48" s="140">
        <v>1000</v>
      </c>
      <c r="L48" s="140">
        <f t="shared" si="8"/>
        <v>1000</v>
      </c>
      <c r="M48" s="140" t="s">
        <v>307</v>
      </c>
    </row>
    <row r="49" spans="1:13">
      <c r="B49" s="139" t="s">
        <v>160</v>
      </c>
      <c r="C49" s="139">
        <v>15</v>
      </c>
      <c r="D49" s="139" t="s">
        <v>255</v>
      </c>
      <c r="E49" s="139">
        <v>108</v>
      </c>
      <c r="F49" s="139">
        <v>1</v>
      </c>
      <c r="G49" s="139" t="s">
        <v>260</v>
      </c>
      <c r="H49" s="140" t="s">
        <v>257</v>
      </c>
      <c r="I49" s="140" t="s">
        <v>259</v>
      </c>
      <c r="J49" s="140">
        <v>2</v>
      </c>
      <c r="K49" s="140">
        <v>3500</v>
      </c>
      <c r="L49" s="140">
        <f t="shared" si="8"/>
        <v>7000</v>
      </c>
      <c r="M49" s="140" t="s">
        <v>308</v>
      </c>
    </row>
    <row r="50" spans="1:13">
      <c r="B50" s="139" t="s">
        <v>160</v>
      </c>
      <c r="C50" s="139">
        <v>15</v>
      </c>
      <c r="D50" s="139" t="s">
        <v>255</v>
      </c>
      <c r="E50" s="139">
        <v>108</v>
      </c>
      <c r="F50" s="139">
        <v>1</v>
      </c>
      <c r="G50" s="139" t="s">
        <v>260</v>
      </c>
      <c r="H50" s="140" t="s">
        <v>257</v>
      </c>
      <c r="I50" s="140" t="s">
        <v>259</v>
      </c>
      <c r="J50" s="140">
        <v>6</v>
      </c>
      <c r="K50" s="140">
        <v>3000</v>
      </c>
      <c r="L50" s="140">
        <f t="shared" si="8"/>
        <v>18000</v>
      </c>
      <c r="M50" s="140" t="s">
        <v>309</v>
      </c>
    </row>
    <row r="51" spans="1:13">
      <c r="B51" s="139" t="s">
        <v>160</v>
      </c>
      <c r="C51" s="139">
        <v>15</v>
      </c>
      <c r="D51" s="139" t="s">
        <v>255</v>
      </c>
      <c r="E51" s="139">
        <v>108</v>
      </c>
      <c r="F51" s="139">
        <v>1</v>
      </c>
      <c r="G51" s="139" t="s">
        <v>260</v>
      </c>
      <c r="H51" s="140" t="s">
        <v>257</v>
      </c>
      <c r="I51" s="140" t="s">
        <v>259</v>
      </c>
      <c r="J51" s="140">
        <v>6</v>
      </c>
      <c r="K51" s="140">
        <v>3000</v>
      </c>
      <c r="L51" s="140">
        <f t="shared" si="8"/>
        <v>18000</v>
      </c>
      <c r="M51" s="140" t="s">
        <v>310</v>
      </c>
    </row>
    <row r="52" spans="1:13">
      <c r="B52" s="139" t="s">
        <v>160</v>
      </c>
      <c r="C52" s="139">
        <v>15</v>
      </c>
      <c r="D52" s="139" t="s">
        <v>255</v>
      </c>
      <c r="E52" s="139">
        <v>108</v>
      </c>
      <c r="F52" s="139">
        <v>1</v>
      </c>
      <c r="G52" s="139" t="s">
        <v>260</v>
      </c>
      <c r="H52" s="140" t="s">
        <v>257</v>
      </c>
      <c r="I52" s="140" t="s">
        <v>259</v>
      </c>
      <c r="J52" s="140">
        <v>2</v>
      </c>
      <c r="K52" s="140">
        <v>5000</v>
      </c>
      <c r="L52" s="140">
        <f t="shared" si="8"/>
        <v>10000</v>
      </c>
      <c r="M52" s="140" t="s">
        <v>311</v>
      </c>
    </row>
    <row r="53" spans="1:13">
      <c r="B53" s="139" t="s">
        <v>160</v>
      </c>
      <c r="C53" s="139">
        <v>14</v>
      </c>
      <c r="D53" s="139" t="s">
        <v>255</v>
      </c>
      <c r="E53" s="185">
        <v>108</v>
      </c>
      <c r="F53" s="139">
        <v>1</v>
      </c>
      <c r="G53" s="139" t="s">
        <v>45</v>
      </c>
      <c r="H53" s="183" t="s">
        <v>22</v>
      </c>
      <c r="I53" s="140" t="s">
        <v>187</v>
      </c>
      <c r="J53" s="140">
        <v>40</v>
      </c>
      <c r="K53" s="140">
        <v>200</v>
      </c>
      <c r="L53" s="140">
        <f t="shared" ref="L53" si="9">J53*K53</f>
        <v>8000</v>
      </c>
      <c r="M53" s="183" t="s">
        <v>316</v>
      </c>
    </row>
    <row r="54" spans="1:13">
      <c r="B54" s="139" t="s">
        <v>160</v>
      </c>
      <c r="C54" s="139">
        <v>14</v>
      </c>
      <c r="D54" s="139" t="s">
        <v>255</v>
      </c>
      <c r="E54" s="185">
        <v>109</v>
      </c>
      <c r="F54" s="139">
        <v>1</v>
      </c>
      <c r="G54" s="139" t="s">
        <v>45</v>
      </c>
      <c r="H54" s="183" t="s">
        <v>22</v>
      </c>
      <c r="I54" s="140" t="s">
        <v>187</v>
      </c>
      <c r="J54" s="140">
        <v>60</v>
      </c>
      <c r="K54" s="140">
        <v>200</v>
      </c>
      <c r="L54" s="140">
        <f t="shared" si="8"/>
        <v>12000</v>
      </c>
      <c r="M54" s="183" t="s">
        <v>317</v>
      </c>
    </row>
    <row r="55" spans="1:13">
      <c r="B55" s="139" t="s">
        <v>160</v>
      </c>
      <c r="C55" s="139">
        <v>15</v>
      </c>
      <c r="D55" s="139" t="s">
        <v>255</v>
      </c>
      <c r="E55" s="139">
        <v>108</v>
      </c>
      <c r="F55" s="139">
        <v>1</v>
      </c>
      <c r="G55" s="139" t="s">
        <v>45</v>
      </c>
      <c r="H55" s="140" t="s">
        <v>23</v>
      </c>
      <c r="I55" s="140" t="s">
        <v>187</v>
      </c>
      <c r="J55" s="140">
        <v>1</v>
      </c>
      <c r="K55" s="140">
        <v>4000</v>
      </c>
      <c r="L55" s="140">
        <f t="shared" si="8"/>
        <v>4000</v>
      </c>
      <c r="M55" s="140" t="s">
        <v>277</v>
      </c>
    </row>
    <row r="56" spans="1:13">
      <c r="A56">
        <f>SUM(L47:L56)</f>
        <v>170000</v>
      </c>
      <c r="B56" s="139" t="s">
        <v>160</v>
      </c>
      <c r="C56" s="139">
        <v>15</v>
      </c>
      <c r="D56" s="139" t="s">
        <v>255</v>
      </c>
      <c r="E56" s="139">
        <v>108</v>
      </c>
      <c r="F56" s="139">
        <v>1</v>
      </c>
      <c r="G56" s="139" t="s">
        <v>45</v>
      </c>
      <c r="H56" s="140" t="s">
        <v>23</v>
      </c>
      <c r="I56" s="172" t="s">
        <v>266</v>
      </c>
      <c r="J56" s="140">
        <v>37</v>
      </c>
      <c r="K56" s="140">
        <v>2000</v>
      </c>
      <c r="L56" s="140">
        <f t="shared" si="8"/>
        <v>74000</v>
      </c>
      <c r="M56" s="173" t="s">
        <v>275</v>
      </c>
    </row>
    <row r="57" spans="1:13">
      <c r="B57" s="131" t="s">
        <v>216</v>
      </c>
      <c r="C57" s="131">
        <v>2</v>
      </c>
      <c r="D57" s="131" t="s">
        <v>215</v>
      </c>
      <c r="E57" s="131">
        <v>108</v>
      </c>
      <c r="F57" s="131">
        <v>1</v>
      </c>
      <c r="G57" s="131" t="s">
        <v>204</v>
      </c>
      <c r="H57" s="132" t="s">
        <v>197</v>
      </c>
      <c r="I57" s="132" t="s">
        <v>136</v>
      </c>
      <c r="J57" s="132">
        <v>12</v>
      </c>
      <c r="K57" s="132">
        <v>2000</v>
      </c>
      <c r="L57" s="133">
        <f t="shared" si="7"/>
        <v>24000</v>
      </c>
      <c r="M57" s="134" t="s">
        <v>206</v>
      </c>
    </row>
    <row r="58" spans="1:13">
      <c r="B58" s="131" t="s">
        <v>216</v>
      </c>
      <c r="C58" s="131">
        <v>4</v>
      </c>
      <c r="D58" s="131" t="s">
        <v>215</v>
      </c>
      <c r="E58" s="131">
        <v>108</v>
      </c>
      <c r="F58" s="131">
        <v>1</v>
      </c>
      <c r="G58" s="131" t="s">
        <v>204</v>
      </c>
      <c r="H58" s="132" t="s">
        <v>138</v>
      </c>
      <c r="I58" s="132" t="s">
        <v>136</v>
      </c>
      <c r="J58" s="132">
        <v>12</v>
      </c>
      <c r="K58" s="132">
        <v>400</v>
      </c>
      <c r="L58" s="133">
        <f t="shared" si="7"/>
        <v>4800</v>
      </c>
      <c r="M58" s="134" t="s">
        <v>206</v>
      </c>
    </row>
    <row r="59" spans="1:13">
      <c r="B59" s="131" t="s">
        <v>216</v>
      </c>
      <c r="C59" s="131">
        <v>9</v>
      </c>
      <c r="D59" s="131" t="s">
        <v>215</v>
      </c>
      <c r="E59" s="131">
        <v>108</v>
      </c>
      <c r="F59" s="131">
        <v>1</v>
      </c>
      <c r="G59" s="131" t="s">
        <v>204</v>
      </c>
      <c r="H59" s="132" t="s">
        <v>141</v>
      </c>
      <c r="I59" s="132"/>
      <c r="J59" s="132">
        <v>60</v>
      </c>
      <c r="K59" s="132">
        <v>30</v>
      </c>
      <c r="L59" s="133">
        <f t="shared" si="7"/>
        <v>1800</v>
      </c>
      <c r="M59" s="134" t="s">
        <v>207</v>
      </c>
    </row>
    <row r="60" spans="1:13">
      <c r="B60" s="131" t="s">
        <v>216</v>
      </c>
      <c r="C60" s="131">
        <v>11</v>
      </c>
      <c r="D60" s="131" t="s">
        <v>215</v>
      </c>
      <c r="E60" s="131">
        <v>108</v>
      </c>
      <c r="F60" s="131">
        <v>1</v>
      </c>
      <c r="G60" s="131" t="s">
        <v>204</v>
      </c>
      <c r="H60" s="132" t="s">
        <v>143</v>
      </c>
      <c r="I60" s="132" t="s">
        <v>140</v>
      </c>
      <c r="J60" s="132">
        <v>6</v>
      </c>
      <c r="K60" s="132">
        <v>1000</v>
      </c>
      <c r="L60" s="133">
        <f t="shared" si="7"/>
        <v>6000</v>
      </c>
      <c r="M60" s="134" t="s">
        <v>209</v>
      </c>
    </row>
    <row r="61" spans="1:13">
      <c r="B61" s="131" t="s">
        <v>216</v>
      </c>
      <c r="C61" s="131">
        <v>12</v>
      </c>
      <c r="D61" s="131" t="s">
        <v>215</v>
      </c>
      <c r="E61" s="131">
        <v>108</v>
      </c>
      <c r="F61" s="131">
        <v>1</v>
      </c>
      <c r="G61" s="131" t="s">
        <v>204</v>
      </c>
      <c r="H61" s="132" t="s">
        <v>144</v>
      </c>
      <c r="I61" s="132" t="s">
        <v>145</v>
      </c>
      <c r="J61" s="132">
        <v>60</v>
      </c>
      <c r="K61" s="132">
        <v>80</v>
      </c>
      <c r="L61" s="133">
        <f t="shared" si="7"/>
        <v>4800</v>
      </c>
      <c r="M61" s="134" t="s">
        <v>210</v>
      </c>
    </row>
    <row r="62" spans="1:13">
      <c r="B62" s="131" t="s">
        <v>216</v>
      </c>
      <c r="C62" s="131">
        <v>14</v>
      </c>
      <c r="D62" s="131" t="s">
        <v>215</v>
      </c>
      <c r="E62" s="131">
        <v>108</v>
      </c>
      <c r="F62" s="131">
        <v>1</v>
      </c>
      <c r="G62" s="131" t="s">
        <v>204</v>
      </c>
      <c r="H62" s="110" t="s">
        <v>148</v>
      </c>
      <c r="I62" s="132" t="s">
        <v>140</v>
      </c>
      <c r="J62" s="132">
        <v>85</v>
      </c>
      <c r="K62" s="132">
        <v>200</v>
      </c>
      <c r="L62" s="133">
        <f t="shared" si="7"/>
        <v>17000</v>
      </c>
      <c r="M62" s="143" t="s">
        <v>211</v>
      </c>
    </row>
    <row r="63" spans="1:13">
      <c r="B63" s="131" t="s">
        <v>216</v>
      </c>
      <c r="C63" s="131">
        <v>19</v>
      </c>
      <c r="D63" s="131" t="s">
        <v>215</v>
      </c>
      <c r="E63" s="131">
        <v>108</v>
      </c>
      <c r="F63" s="131">
        <v>1</v>
      </c>
      <c r="G63" s="131" t="s">
        <v>204</v>
      </c>
      <c r="H63" s="132" t="s">
        <v>154</v>
      </c>
      <c r="I63" s="132" t="s">
        <v>155</v>
      </c>
      <c r="J63" s="132">
        <v>1</v>
      </c>
      <c r="K63" s="132">
        <v>550</v>
      </c>
      <c r="L63" s="133">
        <f t="shared" si="7"/>
        <v>550</v>
      </c>
      <c r="M63" s="134" t="s">
        <v>213</v>
      </c>
    </row>
    <row r="64" spans="1:13">
      <c r="A64" s="144">
        <f>SUM(L57:L64)</f>
        <v>60000</v>
      </c>
      <c r="B64" s="131" t="s">
        <v>216</v>
      </c>
      <c r="C64" s="131">
        <v>24</v>
      </c>
      <c r="D64" s="131" t="s">
        <v>215</v>
      </c>
      <c r="E64" s="131">
        <v>108</v>
      </c>
      <c r="F64" s="131">
        <v>1</v>
      </c>
      <c r="G64" s="131" t="s">
        <v>204</v>
      </c>
      <c r="H64" s="132" t="s">
        <v>158</v>
      </c>
      <c r="I64" s="132" t="s">
        <v>155</v>
      </c>
      <c r="J64" s="132">
        <v>1</v>
      </c>
      <c r="K64" s="132">
        <v>1050</v>
      </c>
      <c r="L64" s="133">
        <f>J64*K64</f>
        <v>1050</v>
      </c>
      <c r="M64" s="134" t="s">
        <v>214</v>
      </c>
    </row>
    <row r="65" spans="1:14">
      <c r="B65" s="135" t="s">
        <v>216</v>
      </c>
      <c r="C65" s="135">
        <v>2</v>
      </c>
      <c r="D65" s="135" t="s">
        <v>215</v>
      </c>
      <c r="E65" s="135">
        <v>109</v>
      </c>
      <c r="F65" s="135">
        <v>1</v>
      </c>
      <c r="G65" s="135" t="s">
        <v>204</v>
      </c>
      <c r="H65" s="136" t="s">
        <v>197</v>
      </c>
      <c r="I65" s="136" t="s">
        <v>136</v>
      </c>
      <c r="J65" s="136">
        <v>12</v>
      </c>
      <c r="K65" s="136">
        <v>2000</v>
      </c>
      <c r="L65" s="137">
        <f>J65*K65</f>
        <v>24000</v>
      </c>
      <c r="M65" s="138" t="s">
        <v>206</v>
      </c>
    </row>
    <row r="66" spans="1:14">
      <c r="B66" s="135" t="s">
        <v>216</v>
      </c>
      <c r="C66" s="135">
        <v>4</v>
      </c>
      <c r="D66" s="135" t="s">
        <v>215</v>
      </c>
      <c r="E66" s="135">
        <v>109</v>
      </c>
      <c r="F66" s="135">
        <v>1</v>
      </c>
      <c r="G66" s="135" t="s">
        <v>204</v>
      </c>
      <c r="H66" s="136" t="s">
        <v>138</v>
      </c>
      <c r="I66" s="136" t="s">
        <v>136</v>
      </c>
      <c r="J66" s="136">
        <v>12</v>
      </c>
      <c r="K66" s="136">
        <v>400</v>
      </c>
      <c r="L66" s="137">
        <f t="shared" ref="L66:L72" si="10">J66*K66</f>
        <v>4800</v>
      </c>
      <c r="M66" s="138" t="s">
        <v>206</v>
      </c>
    </row>
    <row r="67" spans="1:14">
      <c r="B67" s="135" t="s">
        <v>216</v>
      </c>
      <c r="C67" s="135">
        <v>9</v>
      </c>
      <c r="D67" s="135" t="s">
        <v>215</v>
      </c>
      <c r="E67" s="135">
        <v>109</v>
      </c>
      <c r="F67" s="135">
        <v>1</v>
      </c>
      <c r="G67" s="135" t="s">
        <v>204</v>
      </c>
      <c r="H67" s="136" t="s">
        <v>141</v>
      </c>
      <c r="I67" s="136"/>
      <c r="J67" s="136">
        <v>60</v>
      </c>
      <c r="K67" s="136">
        <v>30</v>
      </c>
      <c r="L67" s="137">
        <f t="shared" si="10"/>
        <v>1800</v>
      </c>
      <c r="M67" s="138" t="s">
        <v>207</v>
      </c>
    </row>
    <row r="68" spans="1:14">
      <c r="B68" s="135" t="s">
        <v>216</v>
      </c>
      <c r="C68" s="135">
        <v>11</v>
      </c>
      <c r="D68" s="135" t="s">
        <v>215</v>
      </c>
      <c r="E68" s="135">
        <v>109</v>
      </c>
      <c r="F68" s="135">
        <v>1</v>
      </c>
      <c r="G68" s="135" t="s">
        <v>204</v>
      </c>
      <c r="H68" s="136" t="s">
        <v>143</v>
      </c>
      <c r="I68" s="136" t="s">
        <v>140</v>
      </c>
      <c r="J68" s="136">
        <v>6</v>
      </c>
      <c r="K68" s="136">
        <v>1000</v>
      </c>
      <c r="L68" s="137">
        <f t="shared" si="10"/>
        <v>6000</v>
      </c>
      <c r="M68" s="138" t="s">
        <v>209</v>
      </c>
    </row>
    <row r="69" spans="1:14">
      <c r="B69" s="135" t="s">
        <v>216</v>
      </c>
      <c r="C69" s="135">
        <v>12</v>
      </c>
      <c r="D69" s="135" t="s">
        <v>215</v>
      </c>
      <c r="E69" s="135">
        <v>109</v>
      </c>
      <c r="F69" s="135">
        <v>1</v>
      </c>
      <c r="G69" s="135" t="s">
        <v>204</v>
      </c>
      <c r="H69" s="136" t="s">
        <v>144</v>
      </c>
      <c r="I69" s="136" t="s">
        <v>145</v>
      </c>
      <c r="J69" s="136">
        <v>60</v>
      </c>
      <c r="K69" s="136">
        <v>80</v>
      </c>
      <c r="L69" s="137">
        <f t="shared" si="10"/>
        <v>4800</v>
      </c>
      <c r="M69" s="138" t="s">
        <v>210</v>
      </c>
    </row>
    <row r="70" spans="1:14">
      <c r="B70" s="135" t="s">
        <v>216</v>
      </c>
      <c r="C70" s="135">
        <v>14</v>
      </c>
      <c r="D70" s="135" t="s">
        <v>215</v>
      </c>
      <c r="E70" s="135">
        <v>109</v>
      </c>
      <c r="F70" s="135">
        <v>1</v>
      </c>
      <c r="G70" s="135" t="s">
        <v>204</v>
      </c>
      <c r="H70" s="110" t="s">
        <v>148</v>
      </c>
      <c r="I70" s="136" t="s">
        <v>140</v>
      </c>
      <c r="J70" s="136">
        <v>85</v>
      </c>
      <c r="K70" s="136">
        <v>200</v>
      </c>
      <c r="L70" s="137">
        <f t="shared" si="10"/>
        <v>17000</v>
      </c>
      <c r="M70" s="138" t="s">
        <v>211</v>
      </c>
    </row>
    <row r="71" spans="1:14">
      <c r="B71" s="135" t="s">
        <v>216</v>
      </c>
      <c r="C71" s="135">
        <v>19</v>
      </c>
      <c r="D71" s="135" t="s">
        <v>215</v>
      </c>
      <c r="E71" s="135">
        <v>109</v>
      </c>
      <c r="F71" s="135">
        <v>1</v>
      </c>
      <c r="G71" s="135" t="s">
        <v>204</v>
      </c>
      <c r="H71" s="136" t="s">
        <v>154</v>
      </c>
      <c r="I71" s="136" t="s">
        <v>155</v>
      </c>
      <c r="J71" s="136">
        <v>1</v>
      </c>
      <c r="K71" s="136">
        <v>550</v>
      </c>
      <c r="L71" s="137">
        <f t="shared" si="10"/>
        <v>550</v>
      </c>
      <c r="M71" s="138" t="s">
        <v>213</v>
      </c>
    </row>
    <row r="72" spans="1:14">
      <c r="A72" s="144">
        <f>SUM(L65:L72)</f>
        <v>60000</v>
      </c>
      <c r="B72" s="135" t="s">
        <v>216</v>
      </c>
      <c r="C72" s="135">
        <v>24</v>
      </c>
      <c r="D72" s="135" t="s">
        <v>215</v>
      </c>
      <c r="E72" s="135">
        <v>109</v>
      </c>
      <c r="F72" s="135">
        <v>1</v>
      </c>
      <c r="G72" s="135" t="s">
        <v>204</v>
      </c>
      <c r="H72" s="136" t="s">
        <v>158</v>
      </c>
      <c r="I72" s="136" t="s">
        <v>155</v>
      </c>
      <c r="J72" s="136">
        <v>1</v>
      </c>
      <c r="K72" s="136">
        <v>1050</v>
      </c>
      <c r="L72" s="137">
        <f t="shared" si="10"/>
        <v>1050</v>
      </c>
      <c r="M72" s="138" t="s">
        <v>214</v>
      </c>
    </row>
    <row r="73" spans="1:14">
      <c r="B73" s="139" t="s">
        <v>160</v>
      </c>
      <c r="C73" s="139">
        <v>2</v>
      </c>
      <c r="D73" s="139" t="s">
        <v>227</v>
      </c>
      <c r="E73" s="139">
        <v>108</v>
      </c>
      <c r="F73" s="139">
        <v>2</v>
      </c>
      <c r="G73" s="139" t="s">
        <v>204</v>
      </c>
      <c r="H73" s="140" t="s">
        <v>197</v>
      </c>
      <c r="I73" s="140" t="s">
        <v>136</v>
      </c>
      <c r="J73" s="140">
        <v>4</v>
      </c>
      <c r="K73" s="140">
        <v>2000</v>
      </c>
      <c r="L73" s="140">
        <f t="shared" ref="L73:L82" si="11">J73*K73</f>
        <v>8000</v>
      </c>
      <c r="M73" s="140" t="s">
        <v>217</v>
      </c>
      <c r="N73" t="s">
        <v>217</v>
      </c>
    </row>
    <row r="74" spans="1:14">
      <c r="B74" s="139" t="s">
        <v>160</v>
      </c>
      <c r="C74" s="139">
        <v>4</v>
      </c>
      <c r="D74" s="139" t="s">
        <v>227</v>
      </c>
      <c r="E74" s="139">
        <v>108</v>
      </c>
      <c r="F74" s="139">
        <v>2</v>
      </c>
      <c r="G74" s="139" t="s">
        <v>204</v>
      </c>
      <c r="H74" s="140" t="s">
        <v>138</v>
      </c>
      <c r="I74" s="140" t="s">
        <v>136</v>
      </c>
      <c r="J74" s="140">
        <v>8</v>
      </c>
      <c r="K74" s="140">
        <v>400</v>
      </c>
      <c r="L74" s="140">
        <f t="shared" si="11"/>
        <v>3200</v>
      </c>
      <c r="M74" s="140" t="s">
        <v>218</v>
      </c>
      <c r="N74" t="s">
        <v>218</v>
      </c>
    </row>
    <row r="75" spans="1:14">
      <c r="B75" s="139" t="s">
        <v>160</v>
      </c>
      <c r="C75" s="139">
        <v>9</v>
      </c>
      <c r="D75" s="139" t="s">
        <v>227</v>
      </c>
      <c r="E75" s="139">
        <v>108</v>
      </c>
      <c r="F75" s="139">
        <v>2</v>
      </c>
      <c r="G75" s="139" t="s">
        <v>204</v>
      </c>
      <c r="H75" s="140" t="s">
        <v>141</v>
      </c>
      <c r="I75" s="140"/>
      <c r="J75" s="140">
        <v>20</v>
      </c>
      <c r="K75" s="140">
        <v>30</v>
      </c>
      <c r="L75" s="140">
        <f t="shared" si="11"/>
        <v>600</v>
      </c>
      <c r="M75" s="140" t="s">
        <v>219</v>
      </c>
      <c r="N75" t="s">
        <v>219</v>
      </c>
    </row>
    <row r="76" spans="1:14">
      <c r="B76" s="139" t="s">
        <v>160</v>
      </c>
      <c r="C76" s="139">
        <v>10</v>
      </c>
      <c r="D76" s="139" t="s">
        <v>227</v>
      </c>
      <c r="E76" s="139">
        <v>108</v>
      </c>
      <c r="F76" s="139">
        <v>2</v>
      </c>
      <c r="G76" s="139" t="s">
        <v>204</v>
      </c>
      <c r="H76" s="140" t="s">
        <v>142</v>
      </c>
      <c r="I76" s="140" t="s">
        <v>205</v>
      </c>
      <c r="J76" s="140">
        <v>1</v>
      </c>
      <c r="K76" s="140">
        <v>3000</v>
      </c>
      <c r="L76" s="140">
        <f t="shared" si="11"/>
        <v>3000</v>
      </c>
      <c r="M76" s="140" t="s">
        <v>208</v>
      </c>
      <c r="N76" t="s">
        <v>208</v>
      </c>
    </row>
    <row r="77" spans="1:14">
      <c r="B77" s="139" t="s">
        <v>160</v>
      </c>
      <c r="C77" s="139">
        <v>11</v>
      </c>
      <c r="D77" s="139" t="s">
        <v>227</v>
      </c>
      <c r="E77" s="139">
        <v>108</v>
      </c>
      <c r="F77" s="139">
        <v>2</v>
      </c>
      <c r="G77" s="139" t="s">
        <v>204</v>
      </c>
      <c r="H77" s="140" t="s">
        <v>143</v>
      </c>
      <c r="I77" s="140" t="s">
        <v>140</v>
      </c>
      <c r="J77" s="140">
        <v>2</v>
      </c>
      <c r="K77" s="140">
        <v>1000</v>
      </c>
      <c r="L77" s="140">
        <f t="shared" si="11"/>
        <v>2000</v>
      </c>
      <c r="M77" s="140" t="s">
        <v>220</v>
      </c>
      <c r="N77" t="s">
        <v>220</v>
      </c>
    </row>
    <row r="78" spans="1:14">
      <c r="B78" s="139" t="s">
        <v>160</v>
      </c>
      <c r="C78" s="139">
        <v>12</v>
      </c>
      <c r="D78" s="139" t="s">
        <v>227</v>
      </c>
      <c r="E78" s="139">
        <v>108</v>
      </c>
      <c r="F78" s="139">
        <v>2</v>
      </c>
      <c r="G78" s="139" t="s">
        <v>204</v>
      </c>
      <c r="H78" s="140" t="s">
        <v>144</v>
      </c>
      <c r="I78" s="140" t="s">
        <v>145</v>
      </c>
      <c r="J78" s="140">
        <v>20</v>
      </c>
      <c r="K78" s="140">
        <v>80</v>
      </c>
      <c r="L78" s="140">
        <f t="shared" si="11"/>
        <v>1600</v>
      </c>
      <c r="M78" s="140" t="s">
        <v>221</v>
      </c>
      <c r="N78" t="s">
        <v>221</v>
      </c>
    </row>
    <row r="79" spans="1:14">
      <c r="B79" s="139" t="s">
        <v>160</v>
      </c>
      <c r="C79" s="139">
        <v>14</v>
      </c>
      <c r="D79" s="139" t="s">
        <v>227</v>
      </c>
      <c r="E79" s="139">
        <v>108</v>
      </c>
      <c r="F79" s="139">
        <v>2</v>
      </c>
      <c r="G79" s="139" t="s">
        <v>204</v>
      </c>
      <c r="H79" s="143" t="s">
        <v>148</v>
      </c>
      <c r="I79" s="140" t="s">
        <v>140</v>
      </c>
      <c r="J79" s="140">
        <v>20</v>
      </c>
      <c r="K79" s="140">
        <v>200</v>
      </c>
      <c r="L79" s="140">
        <f t="shared" si="11"/>
        <v>4000</v>
      </c>
      <c r="M79" s="140" t="s">
        <v>261</v>
      </c>
      <c r="N79" t="s">
        <v>222</v>
      </c>
    </row>
    <row r="80" spans="1:14">
      <c r="B80" s="139" t="s">
        <v>160</v>
      </c>
      <c r="C80" s="139">
        <v>15</v>
      </c>
      <c r="D80" s="139" t="s">
        <v>227</v>
      </c>
      <c r="E80" s="139">
        <v>108</v>
      </c>
      <c r="F80" s="139">
        <v>2</v>
      </c>
      <c r="G80" s="139" t="s">
        <v>204</v>
      </c>
      <c r="H80" s="143" t="s">
        <v>149</v>
      </c>
      <c r="I80" s="140"/>
      <c r="J80" s="140">
        <v>0</v>
      </c>
      <c r="K80" s="140">
        <v>20000</v>
      </c>
      <c r="L80" s="140">
        <f t="shared" si="11"/>
        <v>0</v>
      </c>
      <c r="M80" s="140" t="s">
        <v>223</v>
      </c>
      <c r="N80" t="s">
        <v>223</v>
      </c>
    </row>
    <row r="81" spans="1:14">
      <c r="B81" s="139" t="s">
        <v>160</v>
      </c>
      <c r="C81" s="139">
        <v>19</v>
      </c>
      <c r="D81" s="139" t="s">
        <v>227</v>
      </c>
      <c r="E81" s="139">
        <v>108</v>
      </c>
      <c r="F81" s="139">
        <v>2</v>
      </c>
      <c r="G81" s="139" t="s">
        <v>204</v>
      </c>
      <c r="H81" s="140" t="s">
        <v>154</v>
      </c>
      <c r="I81" s="140" t="s">
        <v>155</v>
      </c>
      <c r="J81" s="140">
        <v>1</v>
      </c>
      <c r="K81" s="140">
        <v>210</v>
      </c>
      <c r="L81" s="140">
        <f t="shared" si="11"/>
        <v>210</v>
      </c>
      <c r="M81" s="140" t="s">
        <v>224</v>
      </c>
      <c r="N81" t="s">
        <v>224</v>
      </c>
    </row>
    <row r="82" spans="1:14">
      <c r="B82" s="139" t="s">
        <v>160</v>
      </c>
      <c r="C82" s="139">
        <v>21</v>
      </c>
      <c r="D82" s="139" t="s">
        <v>227</v>
      </c>
      <c r="E82" s="139">
        <v>108</v>
      </c>
      <c r="F82" s="139">
        <v>2</v>
      </c>
      <c r="G82" s="139" t="s">
        <v>204</v>
      </c>
      <c r="H82" s="140" t="s">
        <v>157</v>
      </c>
      <c r="I82" s="140" t="s">
        <v>156</v>
      </c>
      <c r="J82" s="140">
        <v>1</v>
      </c>
      <c r="K82" s="140">
        <v>5000</v>
      </c>
      <c r="L82" s="140">
        <f t="shared" si="11"/>
        <v>5000</v>
      </c>
      <c r="M82" s="140" t="s">
        <v>225</v>
      </c>
      <c r="N82" t="s">
        <v>225</v>
      </c>
    </row>
    <row r="83" spans="1:14">
      <c r="A83">
        <f>SUM(L73:L83)</f>
        <v>30000</v>
      </c>
      <c r="B83" s="139" t="s">
        <v>160</v>
      </c>
      <c r="C83" s="139">
        <v>24</v>
      </c>
      <c r="D83" s="139" t="s">
        <v>227</v>
      </c>
      <c r="E83" s="139">
        <v>108</v>
      </c>
      <c r="F83" s="139">
        <v>2</v>
      </c>
      <c r="G83" s="139" t="s">
        <v>204</v>
      </c>
      <c r="H83" s="140" t="s">
        <v>158</v>
      </c>
      <c r="I83" s="140" t="s">
        <v>155</v>
      </c>
      <c r="J83" s="140">
        <v>1</v>
      </c>
      <c r="K83" s="140">
        <v>2390</v>
      </c>
      <c r="L83" s="140">
        <f>J83*K83</f>
        <v>2390</v>
      </c>
      <c r="M83" s="140" t="s">
        <v>226</v>
      </c>
      <c r="N83" t="s">
        <v>226</v>
      </c>
    </row>
    <row r="84" spans="1:14">
      <c r="B84" s="141" t="s">
        <v>160</v>
      </c>
      <c r="C84" s="141">
        <v>2</v>
      </c>
      <c r="D84" s="141" t="s">
        <v>227</v>
      </c>
      <c r="E84" s="141">
        <v>109</v>
      </c>
      <c r="F84" s="141">
        <v>2</v>
      </c>
      <c r="G84" s="141" t="s">
        <v>204</v>
      </c>
      <c r="H84" s="142" t="s">
        <v>197</v>
      </c>
      <c r="I84" s="142" t="s">
        <v>136</v>
      </c>
      <c r="J84" s="142">
        <v>4</v>
      </c>
      <c r="K84" s="142">
        <v>2000</v>
      </c>
      <c r="L84" s="142">
        <f t="shared" ref="L84:L93" si="12">J84*K84</f>
        <v>8000</v>
      </c>
      <c r="M84" s="142" t="s">
        <v>217</v>
      </c>
    </row>
    <row r="85" spans="1:14">
      <c r="B85" s="141" t="s">
        <v>160</v>
      </c>
      <c r="C85" s="141">
        <v>4</v>
      </c>
      <c r="D85" s="141" t="s">
        <v>227</v>
      </c>
      <c r="E85" s="141">
        <v>109</v>
      </c>
      <c r="F85" s="141">
        <v>2</v>
      </c>
      <c r="G85" s="141" t="s">
        <v>204</v>
      </c>
      <c r="H85" s="142" t="s">
        <v>138</v>
      </c>
      <c r="I85" s="142" t="s">
        <v>136</v>
      </c>
      <c r="J85" s="142">
        <v>8</v>
      </c>
      <c r="K85" s="142">
        <v>400</v>
      </c>
      <c r="L85" s="142">
        <f t="shared" si="12"/>
        <v>3200</v>
      </c>
      <c r="M85" s="142" t="s">
        <v>218</v>
      </c>
    </row>
    <row r="86" spans="1:14">
      <c r="B86" s="141" t="s">
        <v>160</v>
      </c>
      <c r="C86" s="141">
        <v>9</v>
      </c>
      <c r="D86" s="141" t="s">
        <v>227</v>
      </c>
      <c r="E86" s="141">
        <v>109</v>
      </c>
      <c r="F86" s="141">
        <v>2</v>
      </c>
      <c r="G86" s="141" t="s">
        <v>204</v>
      </c>
      <c r="H86" s="142" t="s">
        <v>141</v>
      </c>
      <c r="I86" s="142"/>
      <c r="J86" s="142">
        <v>20</v>
      </c>
      <c r="K86" s="142">
        <v>30</v>
      </c>
      <c r="L86" s="142">
        <f t="shared" si="12"/>
        <v>600</v>
      </c>
      <c r="M86" s="142" t="s">
        <v>219</v>
      </c>
    </row>
    <row r="87" spans="1:14">
      <c r="B87" s="141" t="s">
        <v>160</v>
      </c>
      <c r="C87" s="141">
        <v>10</v>
      </c>
      <c r="D87" s="141" t="s">
        <v>227</v>
      </c>
      <c r="E87" s="141">
        <v>109</v>
      </c>
      <c r="F87" s="141">
        <v>2</v>
      </c>
      <c r="G87" s="141" t="s">
        <v>204</v>
      </c>
      <c r="H87" s="143" t="s">
        <v>142</v>
      </c>
      <c r="I87" s="142" t="s">
        <v>205</v>
      </c>
      <c r="J87" s="142">
        <v>1</v>
      </c>
      <c r="K87" s="142">
        <v>3000</v>
      </c>
      <c r="L87" s="142">
        <f t="shared" si="12"/>
        <v>3000</v>
      </c>
      <c r="M87" s="142" t="s">
        <v>208</v>
      </c>
    </row>
    <row r="88" spans="1:14">
      <c r="B88" s="141" t="s">
        <v>160</v>
      </c>
      <c r="C88" s="141">
        <v>11</v>
      </c>
      <c r="D88" s="141" t="s">
        <v>227</v>
      </c>
      <c r="E88" s="141">
        <v>109</v>
      </c>
      <c r="F88" s="141">
        <v>2</v>
      </c>
      <c r="G88" s="141" t="s">
        <v>204</v>
      </c>
      <c r="H88" s="142" t="s">
        <v>143</v>
      </c>
      <c r="I88" s="142" t="s">
        <v>140</v>
      </c>
      <c r="J88" s="142">
        <v>2</v>
      </c>
      <c r="K88" s="142">
        <v>1000</v>
      </c>
      <c r="L88" s="142">
        <f t="shared" si="12"/>
        <v>2000</v>
      </c>
      <c r="M88" s="142" t="s">
        <v>220</v>
      </c>
    </row>
    <row r="89" spans="1:14">
      <c r="B89" s="141" t="s">
        <v>160</v>
      </c>
      <c r="C89" s="141">
        <v>12</v>
      </c>
      <c r="D89" s="141" t="s">
        <v>227</v>
      </c>
      <c r="E89" s="141">
        <v>109</v>
      </c>
      <c r="F89" s="141">
        <v>2</v>
      </c>
      <c r="G89" s="141" t="s">
        <v>204</v>
      </c>
      <c r="H89" s="142" t="s">
        <v>144</v>
      </c>
      <c r="I89" s="142" t="s">
        <v>145</v>
      </c>
      <c r="J89" s="142">
        <v>20</v>
      </c>
      <c r="K89" s="142">
        <v>80</v>
      </c>
      <c r="L89" s="142">
        <f t="shared" si="12"/>
        <v>1600</v>
      </c>
      <c r="M89" s="142" t="s">
        <v>221</v>
      </c>
    </row>
    <row r="90" spans="1:14">
      <c r="B90" s="141" t="s">
        <v>160</v>
      </c>
      <c r="C90" s="141">
        <v>14</v>
      </c>
      <c r="D90" s="141" t="s">
        <v>227</v>
      </c>
      <c r="E90" s="141">
        <v>109</v>
      </c>
      <c r="F90" s="141">
        <v>2</v>
      </c>
      <c r="G90" s="141" t="s">
        <v>204</v>
      </c>
      <c r="H90" s="143" t="s">
        <v>148</v>
      </c>
      <c r="I90" s="142" t="s">
        <v>140</v>
      </c>
      <c r="J90" s="142">
        <v>20</v>
      </c>
      <c r="K90" s="142">
        <v>200</v>
      </c>
      <c r="L90" s="142">
        <f t="shared" si="12"/>
        <v>4000</v>
      </c>
      <c r="M90" s="140" t="s">
        <v>261</v>
      </c>
    </row>
    <row r="91" spans="1:14">
      <c r="B91" s="141" t="s">
        <v>160</v>
      </c>
      <c r="C91" s="141">
        <v>15</v>
      </c>
      <c r="D91" s="141" t="s">
        <v>227</v>
      </c>
      <c r="E91" s="141">
        <v>109</v>
      </c>
      <c r="F91" s="141">
        <v>2</v>
      </c>
      <c r="G91" s="141" t="s">
        <v>204</v>
      </c>
      <c r="H91" s="143" t="s">
        <v>149</v>
      </c>
      <c r="I91" s="142"/>
      <c r="J91" s="142">
        <v>0</v>
      </c>
      <c r="K91" s="142">
        <v>20000</v>
      </c>
      <c r="L91" s="142">
        <f t="shared" si="12"/>
        <v>0</v>
      </c>
      <c r="M91" s="142" t="s">
        <v>223</v>
      </c>
    </row>
    <row r="92" spans="1:14">
      <c r="B92" s="141" t="s">
        <v>160</v>
      </c>
      <c r="C92" s="141">
        <v>19</v>
      </c>
      <c r="D92" s="141" t="s">
        <v>227</v>
      </c>
      <c r="E92" s="141">
        <v>109</v>
      </c>
      <c r="F92" s="141">
        <v>2</v>
      </c>
      <c r="G92" s="141" t="s">
        <v>204</v>
      </c>
      <c r="H92" s="142" t="s">
        <v>154</v>
      </c>
      <c r="I92" s="142" t="s">
        <v>155</v>
      </c>
      <c r="J92" s="142">
        <v>1</v>
      </c>
      <c r="K92" s="142">
        <v>210</v>
      </c>
      <c r="L92" s="142">
        <f t="shared" si="12"/>
        <v>210</v>
      </c>
      <c r="M92" s="142" t="s">
        <v>224</v>
      </c>
    </row>
    <row r="93" spans="1:14">
      <c r="B93" s="141" t="s">
        <v>160</v>
      </c>
      <c r="C93" s="141">
        <v>21</v>
      </c>
      <c r="D93" s="141" t="s">
        <v>227</v>
      </c>
      <c r="E93" s="141">
        <v>109</v>
      </c>
      <c r="F93" s="141">
        <v>2</v>
      </c>
      <c r="G93" s="141" t="s">
        <v>204</v>
      </c>
      <c r="H93" s="142" t="s">
        <v>157</v>
      </c>
      <c r="I93" s="142" t="s">
        <v>156</v>
      </c>
      <c r="J93" s="142">
        <v>1</v>
      </c>
      <c r="K93" s="142">
        <v>5000</v>
      </c>
      <c r="L93" s="142">
        <f t="shared" si="12"/>
        <v>5000</v>
      </c>
      <c r="M93" s="142" t="s">
        <v>225</v>
      </c>
    </row>
    <row r="94" spans="1:14">
      <c r="A94">
        <f>SUM(L84:L94)</f>
        <v>30000</v>
      </c>
      <c r="B94" s="141" t="s">
        <v>160</v>
      </c>
      <c r="C94" s="141">
        <v>24</v>
      </c>
      <c r="D94" s="141" t="s">
        <v>227</v>
      </c>
      <c r="E94" s="141">
        <v>109</v>
      </c>
      <c r="F94" s="141">
        <v>2</v>
      </c>
      <c r="G94" s="141" t="s">
        <v>204</v>
      </c>
      <c r="H94" s="142" t="s">
        <v>158</v>
      </c>
      <c r="I94" s="142" t="s">
        <v>155</v>
      </c>
      <c r="J94" s="142">
        <v>1</v>
      </c>
      <c r="K94" s="142">
        <v>2390</v>
      </c>
      <c r="L94" s="142">
        <f>J94*K94</f>
        <v>2390</v>
      </c>
      <c r="M94" s="142" t="s">
        <v>226</v>
      </c>
    </row>
    <row r="95" spans="1:14">
      <c r="B95" s="147" t="s">
        <v>238</v>
      </c>
      <c r="C95" s="147">
        <v>5</v>
      </c>
      <c r="D95" s="147" t="s">
        <v>237</v>
      </c>
      <c r="E95" s="147">
        <v>108</v>
      </c>
      <c r="F95" s="147">
        <v>2</v>
      </c>
      <c r="G95" s="147" t="s">
        <v>235</v>
      </c>
      <c r="H95" s="148" t="s">
        <v>236</v>
      </c>
      <c r="I95" s="148" t="s">
        <v>239</v>
      </c>
      <c r="J95" s="148">
        <v>12</v>
      </c>
      <c r="K95" s="148">
        <v>2500</v>
      </c>
      <c r="L95" s="146">
        <f>J95*K95</f>
        <v>30000</v>
      </c>
      <c r="M95" s="146" t="s">
        <v>240</v>
      </c>
    </row>
    <row r="96" spans="1:14">
      <c r="B96" s="147" t="s">
        <v>238</v>
      </c>
      <c r="C96" s="147">
        <v>9</v>
      </c>
      <c r="D96" s="147" t="s">
        <v>237</v>
      </c>
      <c r="E96" s="147">
        <v>108</v>
      </c>
      <c r="F96" s="147">
        <v>2</v>
      </c>
      <c r="G96" s="147" t="s">
        <v>235</v>
      </c>
      <c r="H96" s="148" t="s">
        <v>245</v>
      </c>
      <c r="I96" s="148" t="s">
        <v>246</v>
      </c>
      <c r="J96" s="148">
        <v>40</v>
      </c>
      <c r="K96" s="148">
        <v>40</v>
      </c>
      <c r="L96" s="146">
        <f>J96*K96</f>
        <v>1600</v>
      </c>
      <c r="M96" s="146" t="s">
        <v>248</v>
      </c>
    </row>
    <row r="97" spans="1:13">
      <c r="B97" s="147" t="s">
        <v>238</v>
      </c>
      <c r="C97" s="147">
        <v>11</v>
      </c>
      <c r="D97" s="147" t="s">
        <v>237</v>
      </c>
      <c r="E97" s="147">
        <v>108</v>
      </c>
      <c r="F97" s="147">
        <v>2</v>
      </c>
      <c r="G97" s="147" t="s">
        <v>235</v>
      </c>
      <c r="H97" s="149" t="s">
        <v>241</v>
      </c>
      <c r="I97" s="148" t="s">
        <v>239</v>
      </c>
      <c r="J97" s="148">
        <v>12</v>
      </c>
      <c r="K97" s="148">
        <v>1000</v>
      </c>
      <c r="L97" s="146">
        <f t="shared" ref="L97:L98" si="13">J97*K97</f>
        <v>12000</v>
      </c>
      <c r="M97" s="146" t="s">
        <v>247</v>
      </c>
    </row>
    <row r="98" spans="1:13">
      <c r="A98">
        <f>SUM(L95:L98)</f>
        <v>50000</v>
      </c>
      <c r="B98" s="147" t="s">
        <v>238</v>
      </c>
      <c r="C98" s="147">
        <v>12</v>
      </c>
      <c r="D98" s="147" t="s">
        <v>237</v>
      </c>
      <c r="E98" s="147">
        <v>108</v>
      </c>
      <c r="F98" s="147">
        <v>2</v>
      </c>
      <c r="G98" s="147" t="s">
        <v>235</v>
      </c>
      <c r="H98" s="149" t="s">
        <v>242</v>
      </c>
      <c r="I98" s="148" t="s">
        <v>243</v>
      </c>
      <c r="J98" s="145">
        <v>80</v>
      </c>
      <c r="K98" s="148">
        <v>80</v>
      </c>
      <c r="L98" s="146">
        <f t="shared" si="13"/>
        <v>6400</v>
      </c>
      <c r="M98" s="146" t="s">
        <v>240</v>
      </c>
    </row>
    <row r="99" spans="1:13">
      <c r="B99" s="150" t="s">
        <v>238</v>
      </c>
      <c r="C99" s="150">
        <v>5</v>
      </c>
      <c r="D99" s="150" t="s">
        <v>237</v>
      </c>
      <c r="E99" s="150">
        <v>109</v>
      </c>
      <c r="F99" s="150">
        <v>2</v>
      </c>
      <c r="G99" s="150" t="s">
        <v>235</v>
      </c>
      <c r="H99" s="151" t="s">
        <v>236</v>
      </c>
      <c r="I99" s="151" t="s">
        <v>239</v>
      </c>
      <c r="J99" s="151">
        <v>12</v>
      </c>
      <c r="K99" s="151">
        <v>2500</v>
      </c>
      <c r="L99" s="152">
        <f>J99*K99</f>
        <v>30000</v>
      </c>
      <c r="M99" s="152" t="s">
        <v>240</v>
      </c>
    </row>
    <row r="100" spans="1:13">
      <c r="B100" s="150" t="s">
        <v>238</v>
      </c>
      <c r="C100" s="150">
        <v>9</v>
      </c>
      <c r="D100" s="150" t="s">
        <v>237</v>
      </c>
      <c r="E100" s="150">
        <v>109</v>
      </c>
      <c r="F100" s="150">
        <v>2</v>
      </c>
      <c r="G100" s="150" t="s">
        <v>235</v>
      </c>
      <c r="H100" s="151" t="s">
        <v>245</v>
      </c>
      <c r="I100" s="151" t="s">
        <v>246</v>
      </c>
      <c r="J100" s="151">
        <v>40</v>
      </c>
      <c r="K100" s="151">
        <v>40</v>
      </c>
      <c r="L100" s="152">
        <f>J100*K100</f>
        <v>1600</v>
      </c>
      <c r="M100" s="152" t="s">
        <v>248</v>
      </c>
    </row>
    <row r="101" spans="1:13">
      <c r="B101" s="150" t="s">
        <v>238</v>
      </c>
      <c r="C101" s="150">
        <v>11</v>
      </c>
      <c r="D101" s="150" t="s">
        <v>237</v>
      </c>
      <c r="E101" s="150">
        <v>109</v>
      </c>
      <c r="F101" s="150">
        <v>2</v>
      </c>
      <c r="G101" s="150" t="s">
        <v>235</v>
      </c>
      <c r="H101" s="153" t="s">
        <v>241</v>
      </c>
      <c r="I101" s="151" t="s">
        <v>239</v>
      </c>
      <c r="J101" s="151">
        <v>12</v>
      </c>
      <c r="K101" s="151">
        <v>1000</v>
      </c>
      <c r="L101" s="152">
        <f t="shared" ref="L101:L105" si="14">J101*K101</f>
        <v>12000</v>
      </c>
      <c r="M101" s="152" t="s">
        <v>244</v>
      </c>
    </row>
    <row r="102" spans="1:13">
      <c r="A102">
        <f>SUM(L99:L102)</f>
        <v>50000</v>
      </c>
      <c r="B102" s="150" t="s">
        <v>238</v>
      </c>
      <c r="C102" s="150">
        <v>12</v>
      </c>
      <c r="D102" s="150" t="s">
        <v>237</v>
      </c>
      <c r="E102" s="150">
        <v>109</v>
      </c>
      <c r="F102" s="150">
        <v>2</v>
      </c>
      <c r="G102" s="150" t="s">
        <v>235</v>
      </c>
      <c r="H102" s="153" t="s">
        <v>242</v>
      </c>
      <c r="I102" s="151" t="s">
        <v>243</v>
      </c>
      <c r="J102" s="145">
        <v>80</v>
      </c>
      <c r="K102" s="151">
        <v>80</v>
      </c>
      <c r="L102" s="152">
        <f t="shared" si="14"/>
        <v>6400</v>
      </c>
      <c r="M102" s="152" t="s">
        <v>240</v>
      </c>
    </row>
    <row r="103" spans="1:13">
      <c r="B103" s="154" t="s">
        <v>160</v>
      </c>
      <c r="C103" s="154">
        <v>12</v>
      </c>
      <c r="D103" s="154" t="s">
        <v>234</v>
      </c>
      <c r="E103" s="154">
        <v>108</v>
      </c>
      <c r="F103" s="154">
        <v>3</v>
      </c>
      <c r="G103" s="154" t="s">
        <v>235</v>
      </c>
      <c r="H103" s="155" t="s">
        <v>144</v>
      </c>
      <c r="I103" s="155" t="s">
        <v>145</v>
      </c>
      <c r="J103" s="155">
        <v>40</v>
      </c>
      <c r="K103" s="155">
        <v>80</v>
      </c>
      <c r="L103" s="155">
        <f t="shared" si="14"/>
        <v>3200</v>
      </c>
      <c r="M103" s="155" t="s">
        <v>249</v>
      </c>
    </row>
    <row r="104" spans="1:13">
      <c r="B104" s="154" t="s">
        <v>160</v>
      </c>
      <c r="C104" s="154">
        <v>13</v>
      </c>
      <c r="D104" s="154" t="s">
        <v>234</v>
      </c>
      <c r="E104" s="154">
        <v>108</v>
      </c>
      <c r="F104" s="154">
        <v>3</v>
      </c>
      <c r="G104" s="154" t="s">
        <v>235</v>
      </c>
      <c r="H104" s="155" t="s">
        <v>146</v>
      </c>
      <c r="I104" s="155" t="s">
        <v>147</v>
      </c>
      <c r="J104" s="155">
        <v>1</v>
      </c>
      <c r="K104" s="155">
        <v>12000</v>
      </c>
      <c r="L104" s="155">
        <f t="shared" si="14"/>
        <v>12000</v>
      </c>
      <c r="M104" s="155" t="s">
        <v>249</v>
      </c>
    </row>
    <row r="105" spans="1:13">
      <c r="A105">
        <f>SUM(L103:L105)</f>
        <v>16400</v>
      </c>
      <c r="B105" s="154" t="s">
        <v>160</v>
      </c>
      <c r="C105" s="154">
        <v>16</v>
      </c>
      <c r="D105" s="154" t="s">
        <v>234</v>
      </c>
      <c r="E105" s="154">
        <v>108</v>
      </c>
      <c r="F105" s="154">
        <v>3</v>
      </c>
      <c r="G105" s="154" t="s">
        <v>235</v>
      </c>
      <c r="H105" s="155" t="s">
        <v>150</v>
      </c>
      <c r="I105" s="155" t="s">
        <v>145</v>
      </c>
      <c r="J105" s="155">
        <v>40</v>
      </c>
      <c r="K105" s="155">
        <v>30</v>
      </c>
      <c r="L105" s="155">
        <f t="shared" si="14"/>
        <v>1200</v>
      </c>
      <c r="M105" s="155" t="s">
        <v>249</v>
      </c>
    </row>
    <row r="106" spans="1:13">
      <c r="A106">
        <f>SUM(L103:L106)</f>
        <v>20000</v>
      </c>
      <c r="B106" s="156" t="s">
        <v>160</v>
      </c>
      <c r="C106" s="156">
        <v>24</v>
      </c>
      <c r="D106" s="154" t="s">
        <v>234</v>
      </c>
      <c r="E106" s="154">
        <v>108</v>
      </c>
      <c r="F106" s="154">
        <v>3</v>
      </c>
      <c r="G106" s="154" t="s">
        <v>235</v>
      </c>
      <c r="H106" s="157" t="s">
        <v>158</v>
      </c>
      <c r="I106" s="157" t="s">
        <v>155</v>
      </c>
      <c r="J106" s="157">
        <v>1</v>
      </c>
      <c r="K106" s="157">
        <v>3600</v>
      </c>
      <c r="L106" s="157">
        <f>J106*K106</f>
        <v>3600</v>
      </c>
      <c r="M106" s="155" t="s">
        <v>249</v>
      </c>
    </row>
    <row r="107" spans="1:13">
      <c r="B107" s="158" t="s">
        <v>160</v>
      </c>
      <c r="C107" s="158">
        <v>12</v>
      </c>
      <c r="D107" s="158" t="s">
        <v>234</v>
      </c>
      <c r="E107" s="158">
        <v>109</v>
      </c>
      <c r="F107" s="158">
        <v>3</v>
      </c>
      <c r="G107" s="158" t="s">
        <v>235</v>
      </c>
      <c r="H107" s="159" t="s">
        <v>144</v>
      </c>
      <c r="I107" s="159" t="s">
        <v>145</v>
      </c>
      <c r="J107" s="159">
        <v>40</v>
      </c>
      <c r="K107" s="159">
        <v>80</v>
      </c>
      <c r="L107" s="159">
        <f t="shared" ref="L107:L109" si="15">J107*K107</f>
        <v>3200</v>
      </c>
      <c r="M107" s="159" t="s">
        <v>249</v>
      </c>
    </row>
    <row r="108" spans="1:13">
      <c r="B108" s="158" t="s">
        <v>160</v>
      </c>
      <c r="C108" s="158">
        <v>13</v>
      </c>
      <c r="D108" s="158" t="s">
        <v>234</v>
      </c>
      <c r="E108" s="158">
        <v>109</v>
      </c>
      <c r="F108" s="158">
        <v>3</v>
      </c>
      <c r="G108" s="158" t="s">
        <v>235</v>
      </c>
      <c r="H108" s="159" t="s">
        <v>146</v>
      </c>
      <c r="I108" s="159" t="s">
        <v>147</v>
      </c>
      <c r="J108" s="159">
        <v>1</v>
      </c>
      <c r="K108" s="159">
        <v>12000</v>
      </c>
      <c r="L108" s="159">
        <f t="shared" si="15"/>
        <v>12000</v>
      </c>
      <c r="M108" s="159" t="s">
        <v>249</v>
      </c>
    </row>
    <row r="109" spans="1:13">
      <c r="B109" s="158" t="s">
        <v>160</v>
      </c>
      <c r="C109" s="158">
        <v>16</v>
      </c>
      <c r="D109" s="158" t="s">
        <v>234</v>
      </c>
      <c r="E109" s="158">
        <v>109</v>
      </c>
      <c r="F109" s="158">
        <v>3</v>
      </c>
      <c r="G109" s="158" t="s">
        <v>235</v>
      </c>
      <c r="H109" s="159" t="s">
        <v>150</v>
      </c>
      <c r="I109" s="159" t="s">
        <v>145</v>
      </c>
      <c r="J109" s="159">
        <v>40</v>
      </c>
      <c r="K109" s="159">
        <v>30</v>
      </c>
      <c r="L109" s="159">
        <f t="shared" si="15"/>
        <v>1200</v>
      </c>
      <c r="M109" s="159" t="s">
        <v>249</v>
      </c>
    </row>
    <row r="110" spans="1:13">
      <c r="A110">
        <f>SUM(L107:L110)</f>
        <v>20000</v>
      </c>
      <c r="B110" s="160" t="s">
        <v>160</v>
      </c>
      <c r="C110" s="160">
        <v>24</v>
      </c>
      <c r="D110" s="158" t="s">
        <v>234</v>
      </c>
      <c r="E110" s="158">
        <v>109</v>
      </c>
      <c r="F110" s="158">
        <v>3</v>
      </c>
      <c r="G110" s="158" t="s">
        <v>235</v>
      </c>
      <c r="H110" s="161" t="s">
        <v>158</v>
      </c>
      <c r="I110" s="161" t="s">
        <v>155</v>
      </c>
      <c r="J110" s="161">
        <v>1</v>
      </c>
      <c r="K110" s="161">
        <v>3600</v>
      </c>
      <c r="L110" s="161">
        <f>J110*K110</f>
        <v>3600</v>
      </c>
      <c r="M110" s="159" t="s">
        <v>249</v>
      </c>
    </row>
    <row r="111" spans="1:13">
      <c r="B111" s="162" t="s">
        <v>160</v>
      </c>
      <c r="C111" s="162">
        <v>2</v>
      </c>
      <c r="D111" s="162" t="s">
        <v>250</v>
      </c>
      <c r="E111" s="162">
        <v>108</v>
      </c>
      <c r="F111" s="162">
        <v>1</v>
      </c>
      <c r="G111" s="162" t="s">
        <v>251</v>
      </c>
      <c r="H111" s="163" t="s">
        <v>197</v>
      </c>
      <c r="I111" s="163" t="s">
        <v>136</v>
      </c>
      <c r="J111" s="163">
        <v>4</v>
      </c>
      <c r="K111" s="163">
        <v>2000</v>
      </c>
      <c r="L111" s="163">
        <f t="shared" ref="L111:L113" si="16">J111*K111</f>
        <v>8000</v>
      </c>
      <c r="M111" s="163" t="s">
        <v>252</v>
      </c>
    </row>
    <row r="112" spans="1:13">
      <c r="B112" s="164" t="s">
        <v>238</v>
      </c>
      <c r="C112" s="164">
        <v>11</v>
      </c>
      <c r="D112" s="162" t="s">
        <v>250</v>
      </c>
      <c r="E112" s="162">
        <v>108</v>
      </c>
      <c r="F112" s="162">
        <v>1</v>
      </c>
      <c r="G112" s="162" t="s">
        <v>251</v>
      </c>
      <c r="H112" s="165" t="s">
        <v>79</v>
      </c>
      <c r="I112" s="166" t="s">
        <v>186</v>
      </c>
      <c r="J112" s="166">
        <v>4</v>
      </c>
      <c r="K112" s="166">
        <v>1000</v>
      </c>
      <c r="L112" s="163">
        <f t="shared" si="16"/>
        <v>4000</v>
      </c>
      <c r="M112" s="163" t="s">
        <v>252</v>
      </c>
    </row>
    <row r="113" spans="1:13">
      <c r="B113" s="164" t="s">
        <v>160</v>
      </c>
      <c r="C113" s="164">
        <v>12</v>
      </c>
      <c r="D113" s="162" t="s">
        <v>250</v>
      </c>
      <c r="E113" s="162">
        <v>108</v>
      </c>
      <c r="F113" s="162">
        <v>1</v>
      </c>
      <c r="G113" s="162" t="s">
        <v>251</v>
      </c>
      <c r="H113" s="166" t="s">
        <v>144</v>
      </c>
      <c r="I113" s="166" t="s">
        <v>145</v>
      </c>
      <c r="J113" s="166">
        <v>60</v>
      </c>
      <c r="K113" s="166">
        <v>80</v>
      </c>
      <c r="L113" s="166">
        <f t="shared" si="16"/>
        <v>4800</v>
      </c>
      <c r="M113" s="163" t="s">
        <v>252</v>
      </c>
    </row>
    <row r="114" spans="1:13">
      <c r="A114">
        <f>SUM(L111:L114)</f>
        <v>20000</v>
      </c>
      <c r="B114" s="162" t="s">
        <v>160</v>
      </c>
      <c r="C114" s="162">
        <v>24</v>
      </c>
      <c r="D114" s="162" t="s">
        <v>250</v>
      </c>
      <c r="E114" s="162">
        <v>108</v>
      </c>
      <c r="F114" s="162">
        <v>1</v>
      </c>
      <c r="G114" s="162" t="s">
        <v>251</v>
      </c>
      <c r="H114" s="163" t="s">
        <v>158</v>
      </c>
      <c r="I114" s="163" t="s">
        <v>155</v>
      </c>
      <c r="J114" s="163">
        <v>1</v>
      </c>
      <c r="K114" s="163">
        <v>3200</v>
      </c>
      <c r="L114" s="163">
        <f>J114*K114</f>
        <v>3200</v>
      </c>
      <c r="M114" s="163" t="s">
        <v>252</v>
      </c>
    </row>
    <row r="115" spans="1:13">
      <c r="B115" s="167" t="s">
        <v>160</v>
      </c>
      <c r="C115" s="167">
        <v>2</v>
      </c>
      <c r="D115" s="167" t="s">
        <v>250</v>
      </c>
      <c r="E115" s="167">
        <v>109</v>
      </c>
      <c r="F115" s="167">
        <v>1</v>
      </c>
      <c r="G115" s="167" t="s">
        <v>251</v>
      </c>
      <c r="H115" s="168" t="s">
        <v>197</v>
      </c>
      <c r="I115" s="168" t="s">
        <v>136</v>
      </c>
      <c r="J115" s="168">
        <v>4</v>
      </c>
      <c r="K115" s="168">
        <v>2000</v>
      </c>
      <c r="L115" s="168">
        <f t="shared" ref="L115:L117" si="17">J115*K115</f>
        <v>8000</v>
      </c>
      <c r="M115" s="168" t="s">
        <v>252</v>
      </c>
    </row>
    <row r="116" spans="1:13">
      <c r="B116" s="169" t="s">
        <v>238</v>
      </c>
      <c r="C116" s="169">
        <v>11</v>
      </c>
      <c r="D116" s="167" t="s">
        <v>250</v>
      </c>
      <c r="E116" s="167">
        <v>109</v>
      </c>
      <c r="F116" s="167">
        <v>1</v>
      </c>
      <c r="G116" s="169" t="s">
        <v>235</v>
      </c>
      <c r="H116" s="170" t="s">
        <v>79</v>
      </c>
      <c r="I116" s="171" t="s">
        <v>186</v>
      </c>
      <c r="J116" s="171">
        <v>4</v>
      </c>
      <c r="K116" s="171">
        <v>1000</v>
      </c>
      <c r="L116" s="168">
        <f t="shared" si="17"/>
        <v>4000</v>
      </c>
      <c r="M116" s="168" t="s">
        <v>252</v>
      </c>
    </row>
    <row r="117" spans="1:13">
      <c r="B117" s="169" t="s">
        <v>160</v>
      </c>
      <c r="C117" s="169">
        <v>12</v>
      </c>
      <c r="D117" s="167" t="s">
        <v>250</v>
      </c>
      <c r="E117" s="167">
        <v>109</v>
      </c>
      <c r="F117" s="167">
        <v>1</v>
      </c>
      <c r="G117" s="167" t="s">
        <v>251</v>
      </c>
      <c r="H117" s="171" t="s">
        <v>144</v>
      </c>
      <c r="I117" s="171" t="s">
        <v>145</v>
      </c>
      <c r="J117" s="171">
        <v>60</v>
      </c>
      <c r="K117" s="171">
        <v>80</v>
      </c>
      <c r="L117" s="171">
        <f t="shared" si="17"/>
        <v>4800</v>
      </c>
      <c r="M117" s="168" t="s">
        <v>252</v>
      </c>
    </row>
    <row r="118" spans="1:13">
      <c r="A118">
        <f>SUM(L115:L118)</f>
        <v>20000</v>
      </c>
      <c r="B118" s="167" t="s">
        <v>160</v>
      </c>
      <c r="C118" s="167">
        <v>24</v>
      </c>
      <c r="D118" s="167" t="s">
        <v>250</v>
      </c>
      <c r="E118" s="167">
        <v>109</v>
      </c>
      <c r="F118" s="167">
        <v>1</v>
      </c>
      <c r="G118" s="167" t="s">
        <v>251</v>
      </c>
      <c r="H118" s="168" t="s">
        <v>158</v>
      </c>
      <c r="I118" s="168" t="s">
        <v>155</v>
      </c>
      <c r="J118" s="168">
        <v>1</v>
      </c>
      <c r="K118" s="168">
        <v>3200</v>
      </c>
      <c r="L118" s="168">
        <f>J118*K118</f>
        <v>3200</v>
      </c>
      <c r="M118" s="168" t="s">
        <v>252</v>
      </c>
    </row>
    <row r="119" spans="1:13">
      <c r="B119" s="126" t="s">
        <v>190</v>
      </c>
      <c r="C119" s="126">
        <v>27</v>
      </c>
      <c r="D119" s="126" t="s">
        <v>191</v>
      </c>
      <c r="E119" s="126">
        <v>108</v>
      </c>
      <c r="F119" s="126">
        <v>1</v>
      </c>
      <c r="G119" s="187" t="s">
        <v>253</v>
      </c>
      <c r="H119" s="145" t="s">
        <v>192</v>
      </c>
      <c r="I119" s="110" t="s">
        <v>193</v>
      </c>
      <c r="J119" s="110">
        <v>1</v>
      </c>
      <c r="K119" s="110">
        <v>30000</v>
      </c>
      <c r="L119" s="143">
        <f t="shared" ref="L119:L125" si="18">J119*K119</f>
        <v>30000</v>
      </c>
      <c r="M119" s="110" t="s">
        <v>194</v>
      </c>
    </row>
    <row r="120" spans="1:13">
      <c r="B120" s="126" t="s">
        <v>190</v>
      </c>
      <c r="C120" s="126">
        <v>27</v>
      </c>
      <c r="D120" s="126" t="s">
        <v>191</v>
      </c>
      <c r="E120" s="126">
        <v>108</v>
      </c>
      <c r="F120" s="126">
        <v>1</v>
      </c>
      <c r="G120" s="187" t="s">
        <v>254</v>
      </c>
      <c r="H120" s="145" t="s">
        <v>201</v>
      </c>
      <c r="I120" s="110" t="s">
        <v>193</v>
      </c>
      <c r="J120" s="110">
        <v>1</v>
      </c>
      <c r="K120" s="110">
        <v>10000</v>
      </c>
      <c r="L120" s="143">
        <f t="shared" si="18"/>
        <v>10000</v>
      </c>
      <c r="M120" s="110" t="s">
        <v>194</v>
      </c>
    </row>
    <row r="121" spans="1:13">
      <c r="B121" s="126" t="s">
        <v>190</v>
      </c>
      <c r="C121" s="126">
        <v>27</v>
      </c>
      <c r="D121" s="126" t="s">
        <v>229</v>
      </c>
      <c r="E121" s="126">
        <v>108</v>
      </c>
      <c r="F121" s="126">
        <v>1</v>
      </c>
      <c r="G121" s="126" t="s">
        <v>228</v>
      </c>
      <c r="H121" s="110" t="s">
        <v>192</v>
      </c>
      <c r="I121" s="110" t="s">
        <v>193</v>
      </c>
      <c r="J121" s="110">
        <v>6</v>
      </c>
      <c r="K121" s="110">
        <v>30000</v>
      </c>
      <c r="L121" s="143">
        <f t="shared" si="18"/>
        <v>180000</v>
      </c>
      <c r="M121" s="110" t="s">
        <v>256</v>
      </c>
    </row>
    <row r="122" spans="1:13">
      <c r="B122" s="126" t="s">
        <v>190</v>
      </c>
      <c r="C122" s="126">
        <v>27</v>
      </c>
      <c r="D122" s="126" t="s">
        <v>215</v>
      </c>
      <c r="E122" s="126">
        <v>108</v>
      </c>
      <c r="F122" s="126">
        <v>1</v>
      </c>
      <c r="G122" s="126" t="s">
        <v>46</v>
      </c>
      <c r="H122" s="180" t="s">
        <v>262</v>
      </c>
      <c r="I122" s="180" t="s">
        <v>265</v>
      </c>
      <c r="J122" s="184">
        <v>1</v>
      </c>
      <c r="K122" s="110">
        <v>164000</v>
      </c>
      <c r="L122" s="143">
        <f t="shared" si="18"/>
        <v>164000</v>
      </c>
      <c r="M122" s="181" t="s">
        <v>267</v>
      </c>
    </row>
    <row r="123" spans="1:13">
      <c r="B123" s="126" t="s">
        <v>190</v>
      </c>
      <c r="C123" s="126">
        <v>27</v>
      </c>
      <c r="D123" s="126" t="s">
        <v>215</v>
      </c>
      <c r="E123" s="126">
        <v>108</v>
      </c>
      <c r="F123" s="126">
        <v>1</v>
      </c>
      <c r="G123" s="126" t="s">
        <v>46</v>
      </c>
      <c r="H123" s="180" t="s">
        <v>263</v>
      </c>
      <c r="I123" s="180" t="s">
        <v>266</v>
      </c>
      <c r="J123" s="184">
        <v>8</v>
      </c>
      <c r="K123" s="110">
        <v>12000</v>
      </c>
      <c r="L123" s="143">
        <f t="shared" si="18"/>
        <v>96000</v>
      </c>
      <c r="M123" s="181" t="s">
        <v>267</v>
      </c>
    </row>
    <row r="124" spans="1:13">
      <c r="B124" s="126" t="s">
        <v>190</v>
      </c>
      <c r="C124" s="126">
        <v>27</v>
      </c>
      <c r="D124" s="126" t="s">
        <v>215</v>
      </c>
      <c r="E124" s="126">
        <v>108</v>
      </c>
      <c r="F124" s="126">
        <v>1</v>
      </c>
      <c r="G124" s="126" t="s">
        <v>46</v>
      </c>
      <c r="H124" s="180" t="s">
        <v>264</v>
      </c>
      <c r="I124" s="180" t="s">
        <v>265</v>
      </c>
      <c r="J124" s="184">
        <v>1</v>
      </c>
      <c r="K124" s="110">
        <v>40000</v>
      </c>
      <c r="L124" s="143">
        <f t="shared" si="18"/>
        <v>40000</v>
      </c>
      <c r="M124" s="181" t="s">
        <v>268</v>
      </c>
    </row>
    <row r="125" spans="1:13">
      <c r="A125">
        <f>SUM(L119:L125)</f>
        <v>550000</v>
      </c>
      <c r="B125" s="126" t="s">
        <v>190</v>
      </c>
      <c r="C125" s="126">
        <v>27</v>
      </c>
      <c r="D125" s="126" t="s">
        <v>227</v>
      </c>
      <c r="E125" s="126">
        <v>108</v>
      </c>
      <c r="F125" s="126">
        <v>1</v>
      </c>
      <c r="G125" s="126" t="s">
        <v>46</v>
      </c>
      <c r="H125" s="182" t="s">
        <v>276</v>
      </c>
      <c r="I125" s="180" t="s">
        <v>265</v>
      </c>
      <c r="J125" s="184">
        <v>1</v>
      </c>
      <c r="K125" s="110">
        <v>30000</v>
      </c>
      <c r="L125" s="143">
        <f t="shared" si="18"/>
        <v>30000</v>
      </c>
      <c r="M125" s="181"/>
    </row>
    <row r="126" spans="1:13">
      <c r="B126" s="174" t="s">
        <v>160</v>
      </c>
      <c r="C126" s="174">
        <v>1</v>
      </c>
      <c r="D126" s="174" t="s">
        <v>269</v>
      </c>
      <c r="E126" s="174">
        <v>108</v>
      </c>
      <c r="F126" s="174">
        <v>1</v>
      </c>
      <c r="G126" s="175" t="s">
        <v>204</v>
      </c>
      <c r="H126" s="176" t="s">
        <v>177</v>
      </c>
      <c r="I126" s="176" t="s">
        <v>136</v>
      </c>
      <c r="J126" s="176">
        <v>20</v>
      </c>
      <c r="K126" s="176">
        <v>1000</v>
      </c>
      <c r="L126" s="176">
        <f>J126*K126</f>
        <v>20000</v>
      </c>
      <c r="M126" s="176" t="s">
        <v>270</v>
      </c>
    </row>
    <row r="127" spans="1:13">
      <c r="B127" s="174" t="s">
        <v>160</v>
      </c>
      <c r="C127" s="174">
        <v>2</v>
      </c>
      <c r="D127" s="174" t="s">
        <v>269</v>
      </c>
      <c r="E127" s="174">
        <v>108</v>
      </c>
      <c r="F127" s="174">
        <v>1</v>
      </c>
      <c r="G127" s="175" t="s">
        <v>204</v>
      </c>
      <c r="H127" s="176" t="s">
        <v>197</v>
      </c>
      <c r="I127" s="176" t="s">
        <v>136</v>
      </c>
      <c r="J127" s="176">
        <v>20</v>
      </c>
      <c r="K127" s="176">
        <v>2000</v>
      </c>
      <c r="L127" s="176">
        <f t="shared" ref="L127:L137" si="19">J127*K127</f>
        <v>40000</v>
      </c>
      <c r="M127" s="176" t="s">
        <v>271</v>
      </c>
    </row>
    <row r="128" spans="1:13">
      <c r="B128" s="174" t="s">
        <v>160</v>
      </c>
      <c r="C128" s="174">
        <v>3</v>
      </c>
      <c r="D128" s="174" t="s">
        <v>269</v>
      </c>
      <c r="E128" s="174">
        <v>108</v>
      </c>
      <c r="F128" s="174">
        <v>1</v>
      </c>
      <c r="G128" s="175" t="s">
        <v>204</v>
      </c>
      <c r="H128" s="176" t="s">
        <v>137</v>
      </c>
      <c r="I128" s="176" t="s">
        <v>136</v>
      </c>
      <c r="J128" s="176">
        <v>20</v>
      </c>
      <c r="K128" s="176">
        <v>1000</v>
      </c>
      <c r="L128" s="176">
        <f t="shared" si="19"/>
        <v>20000</v>
      </c>
      <c r="M128" s="176" t="s">
        <v>269</v>
      </c>
    </row>
    <row r="129" spans="1:13">
      <c r="B129" s="174" t="s">
        <v>160</v>
      </c>
      <c r="C129" s="174">
        <v>4</v>
      </c>
      <c r="D129" s="174" t="s">
        <v>269</v>
      </c>
      <c r="E129" s="174">
        <v>108</v>
      </c>
      <c r="F129" s="174">
        <v>1</v>
      </c>
      <c r="G129" s="175" t="s">
        <v>204</v>
      </c>
      <c r="H129" s="176" t="s">
        <v>138</v>
      </c>
      <c r="I129" s="176" t="s">
        <v>136</v>
      </c>
      <c r="J129" s="176">
        <v>20</v>
      </c>
      <c r="K129" s="176">
        <v>550</v>
      </c>
      <c r="L129" s="176">
        <f t="shared" si="19"/>
        <v>11000</v>
      </c>
      <c r="M129" s="176" t="s">
        <v>272</v>
      </c>
    </row>
    <row r="130" spans="1:13">
      <c r="B130" s="174" t="s">
        <v>160</v>
      </c>
      <c r="C130" s="174">
        <v>11</v>
      </c>
      <c r="D130" s="174" t="s">
        <v>269</v>
      </c>
      <c r="E130" s="174">
        <v>108</v>
      </c>
      <c r="F130" s="174">
        <v>1</v>
      </c>
      <c r="G130" s="175" t="s">
        <v>204</v>
      </c>
      <c r="H130" s="176" t="s">
        <v>143</v>
      </c>
      <c r="I130" s="176" t="s">
        <v>140</v>
      </c>
      <c r="J130" s="176">
        <v>2</v>
      </c>
      <c r="K130" s="176">
        <v>1000</v>
      </c>
      <c r="L130" s="176">
        <f t="shared" si="19"/>
        <v>2000</v>
      </c>
      <c r="M130" s="176" t="s">
        <v>220</v>
      </c>
    </row>
    <row r="131" spans="1:13">
      <c r="B131" s="174" t="s">
        <v>160</v>
      </c>
      <c r="C131" s="174">
        <v>12</v>
      </c>
      <c r="D131" s="174" t="s">
        <v>269</v>
      </c>
      <c r="E131" s="174">
        <v>108</v>
      </c>
      <c r="F131" s="174">
        <v>1</v>
      </c>
      <c r="G131" s="175" t="s">
        <v>204</v>
      </c>
      <c r="H131" s="176" t="s">
        <v>144</v>
      </c>
      <c r="I131" s="176" t="s">
        <v>145</v>
      </c>
      <c r="J131" s="176">
        <v>40</v>
      </c>
      <c r="K131" s="176">
        <v>80</v>
      </c>
      <c r="L131" s="176">
        <f t="shared" si="19"/>
        <v>3200</v>
      </c>
      <c r="M131" s="176" t="s">
        <v>221</v>
      </c>
    </row>
    <row r="132" spans="1:13">
      <c r="B132" s="174" t="s">
        <v>160</v>
      </c>
      <c r="C132" s="174">
        <v>13</v>
      </c>
      <c r="D132" s="174" t="s">
        <v>269</v>
      </c>
      <c r="E132" s="174">
        <v>108</v>
      </c>
      <c r="F132" s="174">
        <v>1</v>
      </c>
      <c r="G132" s="175" t="s">
        <v>204</v>
      </c>
      <c r="H132" s="176" t="s">
        <v>146</v>
      </c>
      <c r="I132" s="176" t="s">
        <v>147</v>
      </c>
      <c r="J132" s="176">
        <v>2</v>
      </c>
      <c r="K132" s="176">
        <v>12000</v>
      </c>
      <c r="L132" s="176">
        <f t="shared" si="19"/>
        <v>24000</v>
      </c>
      <c r="M132" s="176" t="s">
        <v>270</v>
      </c>
    </row>
    <row r="133" spans="1:13">
      <c r="B133" s="174" t="s">
        <v>160</v>
      </c>
      <c r="C133" s="174">
        <v>14</v>
      </c>
      <c r="D133" s="174" t="s">
        <v>269</v>
      </c>
      <c r="E133" s="174">
        <v>108</v>
      </c>
      <c r="F133" s="174">
        <v>1</v>
      </c>
      <c r="G133" s="175" t="s">
        <v>204</v>
      </c>
      <c r="H133" s="176" t="s">
        <v>148</v>
      </c>
      <c r="I133" s="176" t="s">
        <v>140</v>
      </c>
      <c r="J133" s="176">
        <v>100</v>
      </c>
      <c r="K133" s="176">
        <v>200</v>
      </c>
      <c r="L133" s="176">
        <f t="shared" si="19"/>
        <v>20000</v>
      </c>
      <c r="M133" s="176" t="s">
        <v>273</v>
      </c>
    </row>
    <row r="134" spans="1:13">
      <c r="B134" s="174" t="s">
        <v>160</v>
      </c>
      <c r="C134" s="174">
        <v>16</v>
      </c>
      <c r="D134" s="174" t="s">
        <v>269</v>
      </c>
      <c r="E134" s="174">
        <v>108</v>
      </c>
      <c r="F134" s="174">
        <v>1</v>
      </c>
      <c r="G134" s="175" t="s">
        <v>204</v>
      </c>
      <c r="H134" s="176" t="s">
        <v>150</v>
      </c>
      <c r="I134" s="176" t="s">
        <v>145</v>
      </c>
      <c r="J134" s="176">
        <v>40</v>
      </c>
      <c r="K134" s="176">
        <v>70</v>
      </c>
      <c r="L134" s="176">
        <f t="shared" si="19"/>
        <v>2800</v>
      </c>
      <c r="M134" s="176" t="s">
        <v>212</v>
      </c>
    </row>
    <row r="135" spans="1:13">
      <c r="B135" s="174" t="s">
        <v>160</v>
      </c>
      <c r="C135" s="174">
        <v>17</v>
      </c>
      <c r="D135" s="174" t="s">
        <v>269</v>
      </c>
      <c r="E135" s="174">
        <v>108</v>
      </c>
      <c r="F135" s="174">
        <v>1</v>
      </c>
      <c r="G135" s="175" t="s">
        <v>204</v>
      </c>
      <c r="H135" s="176" t="s">
        <v>151</v>
      </c>
      <c r="I135" s="176"/>
      <c r="J135" s="176">
        <v>2</v>
      </c>
      <c r="K135" s="176">
        <v>6000</v>
      </c>
      <c r="L135" s="176">
        <f t="shared" si="19"/>
        <v>12000</v>
      </c>
      <c r="M135" s="176"/>
    </row>
    <row r="136" spans="1:13">
      <c r="B136" s="174" t="s">
        <v>160</v>
      </c>
      <c r="C136" s="174">
        <v>19</v>
      </c>
      <c r="D136" s="174" t="s">
        <v>269</v>
      </c>
      <c r="E136" s="174">
        <v>108</v>
      </c>
      <c r="F136" s="174">
        <v>1</v>
      </c>
      <c r="G136" s="175" t="s">
        <v>204</v>
      </c>
      <c r="H136" s="176" t="s">
        <v>154</v>
      </c>
      <c r="I136" s="176" t="s">
        <v>155</v>
      </c>
      <c r="J136" s="176">
        <v>1</v>
      </c>
      <c r="K136" s="176">
        <v>1000</v>
      </c>
      <c r="L136" s="176">
        <f t="shared" si="19"/>
        <v>1000</v>
      </c>
      <c r="M136" s="176" t="s">
        <v>224</v>
      </c>
    </row>
    <row r="137" spans="1:13">
      <c r="A137">
        <f>SUM(L126:L137)</f>
        <v>160000</v>
      </c>
      <c r="B137" s="174" t="s">
        <v>160</v>
      </c>
      <c r="C137" s="174">
        <v>24</v>
      </c>
      <c r="D137" s="174" t="s">
        <v>269</v>
      </c>
      <c r="E137" s="174">
        <v>108</v>
      </c>
      <c r="F137" s="174">
        <v>1</v>
      </c>
      <c r="G137" s="175" t="s">
        <v>204</v>
      </c>
      <c r="H137" s="176" t="s">
        <v>158</v>
      </c>
      <c r="I137" s="176" t="s">
        <v>155</v>
      </c>
      <c r="J137" s="176">
        <v>1</v>
      </c>
      <c r="K137" s="176">
        <v>4000</v>
      </c>
      <c r="L137" s="176">
        <f t="shared" si="19"/>
        <v>4000</v>
      </c>
      <c r="M137" s="176" t="s">
        <v>274</v>
      </c>
    </row>
    <row r="138" spans="1:13">
      <c r="B138" s="177" t="s">
        <v>160</v>
      </c>
      <c r="C138" s="177">
        <v>1</v>
      </c>
      <c r="D138" s="177" t="s">
        <v>269</v>
      </c>
      <c r="E138" s="177">
        <v>109</v>
      </c>
      <c r="F138" s="177">
        <v>1</v>
      </c>
      <c r="G138" s="178" t="s">
        <v>204</v>
      </c>
      <c r="H138" s="179" t="s">
        <v>177</v>
      </c>
      <c r="I138" s="179" t="s">
        <v>136</v>
      </c>
      <c r="J138" s="179">
        <v>20</v>
      </c>
      <c r="K138" s="179">
        <v>1000</v>
      </c>
      <c r="L138" s="179">
        <f>J138*K138</f>
        <v>20000</v>
      </c>
      <c r="M138" s="179" t="s">
        <v>270</v>
      </c>
    </row>
    <row r="139" spans="1:13">
      <c r="B139" s="177" t="s">
        <v>160</v>
      </c>
      <c r="C139" s="177">
        <v>2</v>
      </c>
      <c r="D139" s="177" t="s">
        <v>269</v>
      </c>
      <c r="E139" s="177">
        <v>109</v>
      </c>
      <c r="F139" s="177">
        <v>1</v>
      </c>
      <c r="G139" s="178" t="s">
        <v>204</v>
      </c>
      <c r="H139" s="179" t="s">
        <v>197</v>
      </c>
      <c r="I139" s="179" t="s">
        <v>136</v>
      </c>
      <c r="J139" s="179">
        <v>20</v>
      </c>
      <c r="K139" s="179">
        <v>2000</v>
      </c>
      <c r="L139" s="179">
        <f t="shared" ref="L139:L149" si="20">J139*K139</f>
        <v>40000</v>
      </c>
      <c r="M139" s="179" t="s">
        <v>271</v>
      </c>
    </row>
    <row r="140" spans="1:13">
      <c r="B140" s="177" t="s">
        <v>160</v>
      </c>
      <c r="C140" s="177">
        <v>3</v>
      </c>
      <c r="D140" s="177" t="s">
        <v>269</v>
      </c>
      <c r="E140" s="177">
        <v>109</v>
      </c>
      <c r="F140" s="177">
        <v>1</v>
      </c>
      <c r="G140" s="178" t="s">
        <v>204</v>
      </c>
      <c r="H140" s="179" t="s">
        <v>137</v>
      </c>
      <c r="I140" s="179" t="s">
        <v>136</v>
      </c>
      <c r="J140" s="179">
        <v>20</v>
      </c>
      <c r="K140" s="179">
        <v>1000</v>
      </c>
      <c r="L140" s="179">
        <f t="shared" si="20"/>
        <v>20000</v>
      </c>
      <c r="M140" s="179" t="s">
        <v>269</v>
      </c>
    </row>
    <row r="141" spans="1:13">
      <c r="B141" s="177" t="s">
        <v>160</v>
      </c>
      <c r="C141" s="177">
        <v>4</v>
      </c>
      <c r="D141" s="177" t="s">
        <v>269</v>
      </c>
      <c r="E141" s="177">
        <v>109</v>
      </c>
      <c r="F141" s="177">
        <v>1</v>
      </c>
      <c r="G141" s="178" t="s">
        <v>204</v>
      </c>
      <c r="H141" s="179" t="s">
        <v>138</v>
      </c>
      <c r="I141" s="179" t="s">
        <v>136</v>
      </c>
      <c r="J141" s="179">
        <v>20</v>
      </c>
      <c r="K141" s="179">
        <v>550</v>
      </c>
      <c r="L141" s="179">
        <f t="shared" si="20"/>
        <v>11000</v>
      </c>
      <c r="M141" s="179" t="s">
        <v>272</v>
      </c>
    </row>
    <row r="142" spans="1:13">
      <c r="B142" s="177" t="s">
        <v>160</v>
      </c>
      <c r="C142" s="177">
        <v>11</v>
      </c>
      <c r="D142" s="177" t="s">
        <v>269</v>
      </c>
      <c r="E142" s="177">
        <v>109</v>
      </c>
      <c r="F142" s="177">
        <v>1</v>
      </c>
      <c r="G142" s="178" t="s">
        <v>204</v>
      </c>
      <c r="H142" s="179" t="s">
        <v>143</v>
      </c>
      <c r="I142" s="179" t="s">
        <v>140</v>
      </c>
      <c r="J142" s="179">
        <v>2</v>
      </c>
      <c r="K142" s="179">
        <v>1000</v>
      </c>
      <c r="L142" s="179">
        <f t="shared" si="20"/>
        <v>2000</v>
      </c>
      <c r="M142" s="179" t="s">
        <v>220</v>
      </c>
    </row>
    <row r="143" spans="1:13">
      <c r="B143" s="177" t="s">
        <v>160</v>
      </c>
      <c r="C143" s="177">
        <v>12</v>
      </c>
      <c r="D143" s="177" t="s">
        <v>269</v>
      </c>
      <c r="E143" s="177">
        <v>109</v>
      </c>
      <c r="F143" s="177">
        <v>1</v>
      </c>
      <c r="G143" s="178" t="s">
        <v>204</v>
      </c>
      <c r="H143" s="179" t="s">
        <v>144</v>
      </c>
      <c r="I143" s="179" t="s">
        <v>145</v>
      </c>
      <c r="J143" s="179">
        <v>40</v>
      </c>
      <c r="K143" s="179">
        <v>80</v>
      </c>
      <c r="L143" s="179">
        <f t="shared" si="20"/>
        <v>3200</v>
      </c>
      <c r="M143" s="179" t="s">
        <v>221</v>
      </c>
    </row>
    <row r="144" spans="1:13">
      <c r="B144" s="177" t="s">
        <v>160</v>
      </c>
      <c r="C144" s="177">
        <v>13</v>
      </c>
      <c r="D144" s="177" t="s">
        <v>269</v>
      </c>
      <c r="E144" s="177">
        <v>109</v>
      </c>
      <c r="F144" s="177">
        <v>1</v>
      </c>
      <c r="G144" s="178" t="s">
        <v>204</v>
      </c>
      <c r="H144" s="179" t="s">
        <v>146</v>
      </c>
      <c r="I144" s="179" t="s">
        <v>147</v>
      </c>
      <c r="J144" s="179">
        <v>2</v>
      </c>
      <c r="K144" s="179">
        <v>12000</v>
      </c>
      <c r="L144" s="179">
        <f t="shared" si="20"/>
        <v>24000</v>
      </c>
      <c r="M144" s="179" t="s">
        <v>270</v>
      </c>
    </row>
    <row r="145" spans="1:13">
      <c r="B145" s="177" t="s">
        <v>160</v>
      </c>
      <c r="C145" s="177">
        <v>14</v>
      </c>
      <c r="D145" s="177" t="s">
        <v>269</v>
      </c>
      <c r="E145" s="177">
        <v>109</v>
      </c>
      <c r="F145" s="177">
        <v>1</v>
      </c>
      <c r="G145" s="178" t="s">
        <v>204</v>
      </c>
      <c r="H145" s="179" t="s">
        <v>148</v>
      </c>
      <c r="I145" s="179" t="s">
        <v>140</v>
      </c>
      <c r="J145" s="179">
        <v>100</v>
      </c>
      <c r="K145" s="179">
        <v>200</v>
      </c>
      <c r="L145" s="179">
        <f t="shared" si="20"/>
        <v>20000</v>
      </c>
      <c r="M145" s="179" t="s">
        <v>273</v>
      </c>
    </row>
    <row r="146" spans="1:13">
      <c r="B146" s="177" t="s">
        <v>160</v>
      </c>
      <c r="C146" s="177">
        <v>16</v>
      </c>
      <c r="D146" s="177" t="s">
        <v>269</v>
      </c>
      <c r="E146" s="177">
        <v>109</v>
      </c>
      <c r="F146" s="177">
        <v>1</v>
      </c>
      <c r="G146" s="178" t="s">
        <v>204</v>
      </c>
      <c r="H146" s="179" t="s">
        <v>150</v>
      </c>
      <c r="I146" s="179" t="s">
        <v>145</v>
      </c>
      <c r="J146" s="179">
        <v>40</v>
      </c>
      <c r="K146" s="179">
        <v>70</v>
      </c>
      <c r="L146" s="179">
        <f t="shared" si="20"/>
        <v>2800</v>
      </c>
      <c r="M146" s="179" t="s">
        <v>212</v>
      </c>
    </row>
    <row r="147" spans="1:13">
      <c r="B147" s="177" t="s">
        <v>160</v>
      </c>
      <c r="C147" s="177">
        <v>17</v>
      </c>
      <c r="D147" s="177" t="s">
        <v>269</v>
      </c>
      <c r="E147" s="177">
        <v>109</v>
      </c>
      <c r="F147" s="177">
        <v>1</v>
      </c>
      <c r="G147" s="178" t="s">
        <v>204</v>
      </c>
      <c r="H147" s="179" t="s">
        <v>151</v>
      </c>
      <c r="I147" s="179"/>
      <c r="J147" s="179">
        <v>2</v>
      </c>
      <c r="K147" s="179">
        <v>6000</v>
      </c>
      <c r="L147" s="179">
        <f t="shared" si="20"/>
        <v>12000</v>
      </c>
      <c r="M147" s="179"/>
    </row>
    <row r="148" spans="1:13">
      <c r="B148" s="177" t="s">
        <v>160</v>
      </c>
      <c r="C148" s="177">
        <v>19</v>
      </c>
      <c r="D148" s="177" t="s">
        <v>269</v>
      </c>
      <c r="E148" s="177">
        <v>109</v>
      </c>
      <c r="F148" s="177">
        <v>1</v>
      </c>
      <c r="G148" s="178" t="s">
        <v>204</v>
      </c>
      <c r="H148" s="179" t="s">
        <v>154</v>
      </c>
      <c r="I148" s="179" t="s">
        <v>155</v>
      </c>
      <c r="J148" s="179">
        <v>1</v>
      </c>
      <c r="K148" s="179">
        <v>1000</v>
      </c>
      <c r="L148" s="179">
        <f t="shared" si="20"/>
        <v>1000</v>
      </c>
      <c r="M148" s="179" t="s">
        <v>224</v>
      </c>
    </row>
    <row r="149" spans="1:13">
      <c r="A149">
        <f>SUM(L138:L149)</f>
        <v>160000</v>
      </c>
      <c r="B149" s="177" t="s">
        <v>160</v>
      </c>
      <c r="C149" s="177">
        <v>24</v>
      </c>
      <c r="D149" s="177" t="s">
        <v>269</v>
      </c>
      <c r="E149" s="177">
        <v>109</v>
      </c>
      <c r="F149" s="177">
        <v>1</v>
      </c>
      <c r="G149" s="178" t="s">
        <v>204</v>
      </c>
      <c r="H149" s="179" t="s">
        <v>158</v>
      </c>
      <c r="I149" s="179" t="s">
        <v>155</v>
      </c>
      <c r="J149" s="179">
        <v>1</v>
      </c>
      <c r="K149" s="179">
        <v>4000</v>
      </c>
      <c r="L149" s="179">
        <f t="shared" si="20"/>
        <v>4000</v>
      </c>
      <c r="M149" s="179" t="s">
        <v>274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18</vt:i4>
      </vt:variant>
      <vt:variant>
        <vt:lpstr>已命名的範圍</vt:lpstr>
      </vt:variant>
      <vt:variant>
        <vt:i4>21</vt:i4>
      </vt:variant>
    </vt:vector>
  </HeadingPairs>
  <TitlesOfParts>
    <vt:vector size="39" baseType="lpstr">
      <vt:lpstr>y-1總表</vt:lpstr>
      <vt:lpstr>y-2檢核表</vt:lpstr>
      <vt:lpstr>y-3-1 (A-1)</vt:lpstr>
      <vt:lpstr>y-3-2 (A-1)</vt:lpstr>
      <vt:lpstr>y-3-1 (B-1)</vt:lpstr>
      <vt:lpstr>y-3-2 (B-1)</vt:lpstr>
      <vt:lpstr>y-3-1 (B-2)</vt:lpstr>
      <vt:lpstr>y-3-2 (B-2)</vt:lpstr>
      <vt:lpstr>y-3-1 (C-1)</vt:lpstr>
      <vt:lpstr>y-3-2 (C-1)</vt:lpstr>
      <vt:lpstr>y-3-1 (C-2)</vt:lpstr>
      <vt:lpstr>y-3-2 (C-2)</vt:lpstr>
      <vt:lpstr>y-3-1 (C-3)</vt:lpstr>
      <vt:lpstr>y-3-2 (C-3)</vt:lpstr>
      <vt:lpstr>y-3-1 (D-1)</vt:lpstr>
      <vt:lpstr>y-3-2 (D-2)</vt:lpstr>
      <vt:lpstr>y-4子計畫經費項目總計</vt:lpstr>
      <vt:lpstr>各子計畫經費</vt:lpstr>
      <vt:lpstr>'y-2檢核表'!OLE_LINK1</vt:lpstr>
      <vt:lpstr>'y-1總表'!Print_Area</vt:lpstr>
      <vt:lpstr>'y-2檢核表'!Print_Area</vt:lpstr>
      <vt:lpstr>'y-3-1 (B-1)'!Print_Area</vt:lpstr>
      <vt:lpstr>'y-3-1 (B-2)'!Print_Area</vt:lpstr>
      <vt:lpstr>'y-3-2 (A-1)'!Print_Area</vt:lpstr>
      <vt:lpstr>'y-3-2 (B-1)'!Print_Area</vt:lpstr>
      <vt:lpstr>'y-3-2 (B-2)'!Print_Area</vt:lpstr>
      <vt:lpstr>'y-3-2 (C-1)'!Print_Area</vt:lpstr>
      <vt:lpstr>'y-3-2 (C-2)'!Print_Area</vt:lpstr>
      <vt:lpstr>'y-3-2 (C-3)'!Print_Area</vt:lpstr>
      <vt:lpstr>'y-3-2 (D-2)'!Print_Area</vt:lpstr>
      <vt:lpstr>'y-4子計畫經費項目總計'!Print_Area</vt:lpstr>
      <vt:lpstr>'y-2檢核表'!Print_Titles</vt:lpstr>
      <vt:lpstr>'y-3-1 (A-1)'!Print_Titles</vt:lpstr>
      <vt:lpstr>'y-3-1 (B-1)'!Print_Titles</vt:lpstr>
      <vt:lpstr>'y-3-1 (B-2)'!Print_Titles</vt:lpstr>
      <vt:lpstr>'y-3-1 (C-1)'!Print_Titles</vt:lpstr>
      <vt:lpstr>'y-3-1 (C-2)'!Print_Titles</vt:lpstr>
      <vt:lpstr>'y-3-1 (C-3)'!Print_Titles</vt:lpstr>
      <vt:lpstr>'y-3-1 (D-1)'!Print_Titles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duck</dc:creator>
  <cp:lastModifiedBy>SWPC33</cp:lastModifiedBy>
  <cp:lastPrinted>2019-07-02T02:02:26Z</cp:lastPrinted>
  <dcterms:created xsi:type="dcterms:W3CDTF">1997-01-14T01:50:29Z</dcterms:created>
  <dcterms:modified xsi:type="dcterms:W3CDTF">2019-07-02T03:02:31Z</dcterms:modified>
</cp:coreProperties>
</file>